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BANK\BANK STATEMENT\FIRM\"/>
    </mc:Choice>
  </mc:AlternateContent>
  <xr:revisionPtr revIDLastSave="0" documentId="13_ncr:1_{E9E6B0E2-D0AA-4FCB-88E9-36730D93E800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otak.105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3" i="1" l="1"/>
  <c r="C423" i="1"/>
  <c r="D422" i="1"/>
  <c r="C422" i="1"/>
  <c r="D421" i="1"/>
  <c r="C421" i="1"/>
  <c r="D420" i="1"/>
  <c r="C420" i="1"/>
  <c r="D419" i="1"/>
  <c r="C419" i="1"/>
  <c r="D418" i="1"/>
  <c r="C418" i="1"/>
  <c r="D417" i="1"/>
  <c r="C417" i="1"/>
  <c r="D416" i="1"/>
  <c r="C416" i="1"/>
  <c r="D415" i="1"/>
  <c r="C415" i="1"/>
  <c r="D414" i="1"/>
  <c r="C414" i="1"/>
  <c r="D413" i="1"/>
  <c r="C413" i="1"/>
  <c r="D412" i="1"/>
  <c r="C412" i="1"/>
  <c r="D411" i="1"/>
  <c r="C411" i="1"/>
  <c r="D410" i="1"/>
  <c r="C410" i="1"/>
  <c r="D409" i="1"/>
  <c r="C409" i="1"/>
  <c r="D408" i="1"/>
  <c r="C408" i="1"/>
  <c r="D407" i="1"/>
  <c r="C407" i="1"/>
  <c r="D406" i="1"/>
  <c r="C406" i="1"/>
  <c r="D405" i="1"/>
  <c r="C405" i="1"/>
  <c r="D404" i="1"/>
  <c r="C404" i="1"/>
  <c r="D403" i="1"/>
  <c r="C403" i="1"/>
  <c r="D402" i="1"/>
  <c r="C402" i="1"/>
  <c r="D400" i="1"/>
  <c r="C400" i="1"/>
  <c r="D399" i="1"/>
  <c r="C399" i="1"/>
  <c r="D398" i="1"/>
  <c r="C398" i="1"/>
  <c r="D397" i="1"/>
  <c r="C397" i="1"/>
  <c r="D396" i="1"/>
  <c r="C396" i="1"/>
  <c r="D395" i="1"/>
  <c r="C395" i="1"/>
  <c r="D394" i="1"/>
  <c r="C394" i="1"/>
  <c r="D393" i="1"/>
  <c r="C393" i="1"/>
  <c r="D392" i="1"/>
  <c r="C392" i="1"/>
  <c r="D391" i="1"/>
  <c r="C391" i="1"/>
  <c r="D390" i="1"/>
  <c r="C390" i="1"/>
  <c r="D389" i="1"/>
  <c r="C389" i="1"/>
  <c r="D388" i="1"/>
  <c r="C388" i="1"/>
  <c r="D387" i="1"/>
  <c r="C387" i="1"/>
  <c r="D386" i="1"/>
  <c r="C386" i="1"/>
  <c r="D385" i="1"/>
  <c r="C385" i="1"/>
  <c r="D384" i="1"/>
  <c r="C384" i="1"/>
  <c r="D383" i="1"/>
  <c r="C383" i="1"/>
  <c r="D382" i="1"/>
  <c r="C382" i="1"/>
  <c r="D381" i="1"/>
  <c r="C381" i="1"/>
  <c r="D380" i="1"/>
  <c r="C380" i="1"/>
  <c r="D379" i="1"/>
  <c r="C379" i="1"/>
  <c r="D378" i="1"/>
  <c r="C378" i="1"/>
  <c r="D377" i="1"/>
  <c r="C377" i="1"/>
  <c r="D376" i="1"/>
  <c r="C376" i="1"/>
  <c r="D375" i="1"/>
  <c r="C375" i="1"/>
  <c r="D374" i="1"/>
  <c r="C374" i="1"/>
  <c r="D373" i="1"/>
  <c r="C373" i="1"/>
  <c r="D372" i="1"/>
  <c r="C372" i="1"/>
  <c r="D371" i="1"/>
  <c r="C371" i="1"/>
  <c r="D370" i="1"/>
  <c r="C370" i="1"/>
  <c r="D369" i="1"/>
  <c r="C369" i="1"/>
  <c r="D368" i="1"/>
  <c r="C368" i="1"/>
  <c r="D367" i="1"/>
  <c r="C367" i="1"/>
  <c r="D366" i="1"/>
  <c r="C366" i="1"/>
  <c r="D365" i="1"/>
  <c r="C365" i="1"/>
  <c r="D364" i="1"/>
  <c r="C364" i="1"/>
  <c r="D363" i="1"/>
  <c r="C363" i="1"/>
  <c r="D362" i="1"/>
  <c r="C362" i="1"/>
  <c r="D361" i="1"/>
  <c r="C361" i="1"/>
  <c r="D360" i="1"/>
  <c r="C360" i="1"/>
  <c r="D359" i="1"/>
  <c r="C359" i="1"/>
  <c r="D358" i="1"/>
  <c r="C358" i="1"/>
  <c r="D357" i="1"/>
  <c r="C357" i="1"/>
  <c r="D356" i="1"/>
  <c r="C356" i="1"/>
  <c r="D355" i="1"/>
  <c r="C355" i="1"/>
  <c r="D354" i="1"/>
  <c r="C354" i="1"/>
  <c r="D353" i="1"/>
  <c r="C353" i="1"/>
  <c r="D352" i="1"/>
  <c r="C352" i="1"/>
  <c r="D351" i="1"/>
  <c r="C351" i="1"/>
  <c r="D350" i="1"/>
  <c r="C350" i="1"/>
  <c r="D349" i="1"/>
  <c r="C349" i="1"/>
  <c r="D348" i="1"/>
  <c r="C348" i="1"/>
  <c r="D347" i="1"/>
  <c r="C347" i="1"/>
  <c r="D346" i="1"/>
  <c r="C346" i="1"/>
  <c r="D345" i="1"/>
  <c r="C345" i="1"/>
  <c r="D344" i="1"/>
  <c r="C344" i="1"/>
  <c r="D343" i="1"/>
  <c r="C343" i="1"/>
  <c r="D342" i="1"/>
  <c r="C342" i="1"/>
  <c r="D341" i="1"/>
  <c r="C341" i="1"/>
  <c r="D340" i="1"/>
  <c r="C340" i="1"/>
  <c r="D339" i="1"/>
  <c r="C339" i="1"/>
  <c r="D338" i="1"/>
  <c r="C338" i="1"/>
  <c r="D337" i="1"/>
  <c r="C337" i="1"/>
  <c r="D336" i="1"/>
  <c r="C336" i="1"/>
  <c r="D335" i="1"/>
  <c r="C335" i="1"/>
  <c r="D334" i="1"/>
  <c r="C334" i="1"/>
  <c r="D333" i="1"/>
  <c r="C333" i="1"/>
  <c r="D332" i="1"/>
  <c r="C332" i="1"/>
  <c r="D331" i="1"/>
  <c r="C331" i="1"/>
  <c r="D330" i="1"/>
  <c r="C330" i="1"/>
  <c r="D329" i="1"/>
  <c r="C329" i="1"/>
  <c r="D328" i="1"/>
  <c r="C328" i="1"/>
  <c r="D327" i="1"/>
  <c r="C327" i="1"/>
  <c r="D326" i="1"/>
  <c r="C326" i="1"/>
  <c r="D325" i="1"/>
  <c r="C325" i="1"/>
  <c r="D324" i="1"/>
  <c r="C324" i="1"/>
  <c r="D323" i="1"/>
  <c r="C323" i="1"/>
  <c r="D322" i="1"/>
  <c r="C322" i="1"/>
  <c r="D321" i="1"/>
  <c r="C321" i="1"/>
  <c r="D320" i="1"/>
  <c r="C320" i="1"/>
  <c r="D319" i="1"/>
  <c r="C319" i="1"/>
  <c r="D318" i="1"/>
  <c r="C318" i="1"/>
  <c r="D317" i="1"/>
  <c r="C317" i="1"/>
  <c r="D316" i="1"/>
  <c r="C316" i="1"/>
  <c r="D315" i="1"/>
  <c r="C315" i="1"/>
  <c r="D314" i="1"/>
  <c r="C314" i="1"/>
  <c r="D313" i="1"/>
  <c r="C313" i="1"/>
  <c r="D312" i="1"/>
  <c r="C312" i="1"/>
  <c r="D311" i="1"/>
  <c r="C311" i="1"/>
  <c r="D310" i="1"/>
  <c r="C310" i="1"/>
  <c r="D309" i="1"/>
  <c r="C309" i="1"/>
  <c r="D308" i="1"/>
  <c r="C308" i="1"/>
  <c r="D307" i="1"/>
  <c r="C307" i="1"/>
  <c r="D306" i="1"/>
  <c r="C306" i="1"/>
  <c r="D305" i="1"/>
  <c r="C305" i="1"/>
  <c r="D304" i="1"/>
  <c r="C304" i="1"/>
  <c r="D303" i="1"/>
  <c r="C303" i="1"/>
  <c r="D302" i="1"/>
  <c r="C302" i="1"/>
  <c r="D301" i="1"/>
  <c r="C301" i="1"/>
  <c r="D300" i="1"/>
  <c r="C300" i="1"/>
  <c r="D299" i="1"/>
  <c r="C299" i="1"/>
  <c r="D298" i="1"/>
  <c r="C298" i="1"/>
  <c r="D297" i="1"/>
  <c r="C297" i="1"/>
  <c r="D296" i="1"/>
  <c r="C296" i="1"/>
  <c r="D295" i="1"/>
  <c r="C295" i="1"/>
  <c r="D294" i="1"/>
  <c r="C294" i="1"/>
  <c r="D293" i="1"/>
  <c r="C293" i="1"/>
  <c r="D292" i="1"/>
  <c r="C292" i="1"/>
  <c r="D291" i="1"/>
  <c r="C291" i="1"/>
  <c r="D290" i="1"/>
  <c r="C290" i="1"/>
  <c r="D289" i="1"/>
  <c r="C289" i="1"/>
  <c r="D288" i="1"/>
  <c r="C288" i="1"/>
  <c r="D287" i="1"/>
  <c r="C287" i="1"/>
  <c r="D286" i="1"/>
  <c r="C286" i="1"/>
  <c r="D285" i="1"/>
  <c r="C285" i="1"/>
  <c r="D284" i="1"/>
  <c r="C284" i="1"/>
  <c r="D283" i="1"/>
  <c r="C283" i="1"/>
  <c r="D282" i="1"/>
  <c r="C282" i="1"/>
  <c r="D281" i="1"/>
  <c r="C281" i="1"/>
  <c r="D280" i="1"/>
  <c r="C280" i="1"/>
  <c r="D279" i="1"/>
  <c r="C279" i="1"/>
  <c r="D278" i="1"/>
  <c r="C278" i="1"/>
  <c r="D277" i="1"/>
  <c r="C277" i="1"/>
  <c r="D276" i="1"/>
  <c r="C276" i="1"/>
  <c r="D275" i="1"/>
  <c r="C275" i="1"/>
  <c r="D274" i="1"/>
  <c r="C274" i="1"/>
  <c r="D273" i="1"/>
  <c r="C273" i="1"/>
  <c r="D272" i="1"/>
  <c r="C272" i="1"/>
  <c r="D271" i="1"/>
  <c r="C271" i="1"/>
  <c r="D270" i="1"/>
  <c r="C270" i="1"/>
  <c r="D269" i="1"/>
  <c r="C269" i="1"/>
  <c r="D268" i="1"/>
  <c r="C268" i="1"/>
  <c r="D267" i="1"/>
  <c r="C267" i="1"/>
  <c r="D266" i="1"/>
  <c r="C266" i="1"/>
  <c r="D265" i="1"/>
  <c r="C265" i="1"/>
  <c r="D264" i="1"/>
  <c r="C264" i="1"/>
  <c r="D263" i="1"/>
  <c r="C263" i="1"/>
  <c r="D262" i="1"/>
  <c r="C262" i="1"/>
  <c r="D261" i="1"/>
  <c r="C261" i="1"/>
  <c r="D260" i="1"/>
  <c r="C260" i="1"/>
  <c r="D259" i="1"/>
  <c r="C259" i="1"/>
  <c r="D258" i="1"/>
  <c r="C258" i="1"/>
  <c r="D257" i="1"/>
  <c r="C257" i="1"/>
  <c r="D256" i="1"/>
  <c r="C256" i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C248" i="1"/>
  <c r="D247" i="1"/>
  <c r="C247" i="1"/>
  <c r="D246" i="1"/>
  <c r="C246" i="1"/>
  <c r="D245" i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C236" i="1"/>
  <c r="D235" i="1"/>
  <c r="C235" i="1"/>
  <c r="D234" i="1"/>
  <c r="C234" i="1"/>
  <c r="D233" i="1"/>
  <c r="C233" i="1"/>
  <c r="D232" i="1"/>
  <c r="C232" i="1"/>
  <c r="D231" i="1"/>
  <c r="C231" i="1"/>
  <c r="D230" i="1"/>
  <c r="C230" i="1"/>
  <c r="D229" i="1"/>
  <c r="C229" i="1"/>
  <c r="D228" i="1"/>
  <c r="C228" i="1"/>
  <c r="D227" i="1"/>
  <c r="C227" i="1"/>
  <c r="D226" i="1"/>
  <c r="C226" i="1"/>
  <c r="D225" i="1"/>
  <c r="C225" i="1"/>
  <c r="D224" i="1"/>
  <c r="C224" i="1"/>
  <c r="D223" i="1"/>
  <c r="C223" i="1"/>
  <c r="D222" i="1"/>
  <c r="C222" i="1"/>
  <c r="D221" i="1"/>
  <c r="C221" i="1"/>
  <c r="D220" i="1"/>
  <c r="C220" i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D207" i="1"/>
  <c r="C207" i="1"/>
  <c r="D206" i="1"/>
  <c r="C206" i="1"/>
  <c r="D205" i="1"/>
  <c r="C205" i="1"/>
  <c r="D204" i="1"/>
  <c r="C204" i="1"/>
  <c r="D203" i="1"/>
  <c r="C203" i="1"/>
  <c r="D202" i="1"/>
  <c r="C202" i="1"/>
  <c r="D201" i="1"/>
  <c r="C201" i="1"/>
  <c r="D200" i="1"/>
  <c r="C200" i="1"/>
  <c r="D199" i="1"/>
  <c r="C199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D192" i="1"/>
  <c r="C192" i="1"/>
  <c r="D191" i="1"/>
  <c r="C191" i="1"/>
  <c r="D190" i="1"/>
  <c r="C190" i="1"/>
  <c r="D189" i="1"/>
  <c r="C189" i="1"/>
  <c r="D188" i="1"/>
  <c r="C188" i="1"/>
  <c r="D187" i="1"/>
  <c r="C187" i="1"/>
  <c r="D186" i="1"/>
  <c r="C186" i="1"/>
  <c r="D185" i="1"/>
  <c r="C185" i="1"/>
  <c r="D184" i="1"/>
  <c r="C184" i="1"/>
  <c r="D183" i="1"/>
  <c r="C183" i="1"/>
  <c r="D182" i="1"/>
  <c r="C182" i="1"/>
  <c r="D181" i="1"/>
  <c r="C181" i="1"/>
  <c r="D180" i="1"/>
  <c r="C180" i="1"/>
  <c r="D179" i="1"/>
  <c r="C179" i="1"/>
  <c r="D178" i="1"/>
  <c r="C178" i="1"/>
  <c r="D177" i="1"/>
  <c r="C177" i="1"/>
  <c r="D176" i="1"/>
  <c r="C176" i="1"/>
  <c r="D175" i="1"/>
  <c r="C175" i="1"/>
  <c r="D174" i="1"/>
  <c r="C174" i="1"/>
  <c r="D173" i="1"/>
  <c r="C173" i="1"/>
  <c r="D172" i="1"/>
  <c r="C172" i="1"/>
  <c r="D171" i="1"/>
  <c r="C171" i="1"/>
  <c r="D170" i="1"/>
  <c r="C170" i="1"/>
  <c r="D169" i="1"/>
  <c r="C169" i="1"/>
  <c r="D168" i="1"/>
  <c r="C168" i="1"/>
  <c r="D167" i="1"/>
  <c r="C167" i="1"/>
  <c r="D166" i="1"/>
  <c r="C166" i="1"/>
  <c r="D165" i="1"/>
  <c r="C165" i="1"/>
  <c r="D164" i="1"/>
  <c r="C164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D150" i="1"/>
  <c r="C150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</calcChain>
</file>

<file path=xl/sharedStrings.xml><?xml version="1.0" encoding="utf-8"?>
<sst xmlns="http://schemas.openxmlformats.org/spreadsheetml/2006/main" count="547" uniqueCount="96">
  <si>
    <t>Account Statement</t>
  </si>
  <si>
    <t xml:space="preserve">SHIPMENT SOLUTIONS                                                              </t>
  </si>
  <si>
    <t>1ST FLOOR 39-3202E SRI SIDHI</t>
  </si>
  <si>
    <t>Cust. Reln. No.</t>
  </si>
  <si>
    <t>VINAYAKA APTS ILLOM RD COCHIN</t>
  </si>
  <si>
    <t>Account No.</t>
  </si>
  <si>
    <t>.</t>
  </si>
  <si>
    <t>Period</t>
  </si>
  <si>
    <t>From 31/03/2021 To 03/04/2021</t>
  </si>
  <si>
    <t>Ernakulam</t>
  </si>
  <si>
    <t>Currency</t>
  </si>
  <si>
    <t>INR</t>
  </si>
  <si>
    <t>KERALA</t>
  </si>
  <si>
    <t>Branch</t>
  </si>
  <si>
    <t>ERNAKULAM</t>
  </si>
  <si>
    <t>INDIA</t>
  </si>
  <si>
    <t>Nomination Regd</t>
  </si>
  <si>
    <t>N</t>
  </si>
  <si>
    <t>Nominee Name</t>
  </si>
  <si>
    <t>Sl. No.</t>
  </si>
  <si>
    <t>Date</t>
  </si>
  <si>
    <t>Description</t>
  </si>
  <si>
    <t>Chq / Ref number</t>
  </si>
  <si>
    <t>Value Date</t>
  </si>
  <si>
    <t>Withdrawal</t>
  </si>
  <si>
    <t>Deposit</t>
  </si>
  <si>
    <t>Balance</t>
  </si>
  <si>
    <t>CR/DR</t>
  </si>
  <si>
    <t>NEFT FDRLH21090731013 CHIRAKKAL STEELS PVT LTD FD</t>
  </si>
  <si>
    <t>NEFTINW-0279945220</t>
  </si>
  <si>
    <t>CR</t>
  </si>
  <si>
    <t>MB:OFFICE EXP</t>
  </si>
  <si>
    <t>MB-999288908267</t>
  </si>
  <si>
    <t>IB:HDFC</t>
  </si>
  <si>
    <t>IB   RENT                        Ref 109211030432</t>
  </si>
  <si>
    <t>IMPS-109211030433</t>
  </si>
  <si>
    <t>ICICI CARD</t>
  </si>
  <si>
    <t>IB</t>
  </si>
  <si>
    <t>FUND TR TO SHIPMENT SOLUTION PVT LTD</t>
  </si>
  <si>
    <t>163</t>
  </si>
  <si>
    <t>MB HDFC                          Ref 125114958102</t>
  </si>
  <si>
    <t>IMPS-125114958103</t>
  </si>
  <si>
    <t>NEFT N251211630535273 INDIAN PRODUCTS PRIVATE LIM</t>
  </si>
  <si>
    <t>NEFTINW-0319287256</t>
  </si>
  <si>
    <t>IB: FUND TRANSFER FROM SHIPMENT SOLUTIONS PRIVATE</t>
  </si>
  <si>
    <t>MB:PETTY CASH</t>
  </si>
  <si>
    <t>MB-999218801850</t>
  </si>
  <si>
    <t>MB HDFC                          Ref 125309994863</t>
  </si>
  <si>
    <t>IMPS-125309994864</t>
  </si>
  <si>
    <t>NEFT FBBT212531054847 CUBES INTERNATIONAL LOGISTI</t>
  </si>
  <si>
    <t>NEFTINW-0319931479</t>
  </si>
  <si>
    <t>IB: ETAX EPFONEW 0018930911</t>
  </si>
  <si>
    <t>GBM-0018930911</t>
  </si>
  <si>
    <t>IB:BHAVANI-130 AND 163</t>
  </si>
  <si>
    <t>000231428935</t>
  </si>
  <si>
    <t>PRIDEL TR</t>
  </si>
  <si>
    <t>FCM-21091303M8AQ</t>
  </si>
  <si>
    <t>IB:BLUEOCEAN YARD</t>
  </si>
  <si>
    <t>000231721933</t>
  </si>
  <si>
    <t>IB   ECHT                        Ref 125715747717</t>
  </si>
  <si>
    <t>IMPS-125715747719</t>
  </si>
  <si>
    <t>MB HDFC                          Ref 125810557949</t>
  </si>
  <si>
    <t>IMPS-125810557950</t>
  </si>
  <si>
    <t>NEFT CMS2130394552 ABRECO FREIGHT PRIVATE LIMITED</t>
  </si>
  <si>
    <t>NEFTINW-0321163042</t>
  </si>
  <si>
    <t>NEFT CMS2130394550 ABRECO FREIGHT PRIVATE LIMITED</t>
  </si>
  <si>
    <t>NEFTINW-0321163043</t>
  </si>
  <si>
    <t>Sent NEFT KKBKH21258606398/NARULA TECHNOLOGIE</t>
  </si>
  <si>
    <t>150</t>
  </si>
  <si>
    <t>Sent RTGS KKBKR52021091500607499/GOODRICH MAR</t>
  </si>
  <si>
    <t>79</t>
  </si>
  <si>
    <t>MB:OFFICE CHAIR</t>
  </si>
  <si>
    <t>MB-999215713950</t>
  </si>
  <si>
    <t>TO  1048</t>
  </si>
  <si>
    <t>NEFT SBIN321259759858 MANGALA MARINE SBIN0004062</t>
  </si>
  <si>
    <t>NEFTINW-0321425499</t>
  </si>
  <si>
    <t>NEFT N260211640341276 PERMA SHIPPING LINE INDIA P</t>
  </si>
  <si>
    <t>NEFTINW-0321600717</t>
  </si>
  <si>
    <t>NEFT FBBT212601199771 CUBES INTERNATIONAL LOGISTI</t>
  </si>
  <si>
    <t>NEFTINW-0321676972</t>
  </si>
  <si>
    <t>CASH WITHDRAWAL BY RENJITH AT ERNAKULAMBRANCH</t>
  </si>
  <si>
    <t>80</t>
  </si>
  <si>
    <t>NEFT HSBCN21260591737 INDIAN PRODUCTS PRIVATE LIM</t>
  </si>
  <si>
    <t>NEFTINW-0321750517</t>
  </si>
  <si>
    <t>RTGS IDIBR52021091724977791 ALLCARGO LOGISTICS</t>
  </si>
  <si>
    <t>RTGSINW-0041996767</t>
  </si>
  <si>
    <t>MB HDFC                          Ref 126121169073</t>
  </si>
  <si>
    <t>IMPS-126121169075</t>
  </si>
  <si>
    <t>IB:GSA VASCO</t>
  </si>
  <si>
    <t>000232482799</t>
  </si>
  <si>
    <t>NEFT CMS2139455740 INTERJAS LOGISTICS PVT LTD ICI</t>
  </si>
  <si>
    <t>NEFTINW-0322553626</t>
  </si>
  <si>
    <t>NEFT 25040359811DC CHAKIAT AGENCIES ICIC0SF0002</t>
  </si>
  <si>
    <t>NEFTINW-0322598870</t>
  </si>
  <si>
    <t>NEFT N264211644717406 INDIAN PRODUCTS PRIVATE LIM</t>
  </si>
  <si>
    <t>NEFTINW-0322661272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</si>
</sst>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5">
    <xf numFmtId="0" fontId="0" fillId="0" borderId="0" xfId="0"/>
    <xf numFmtId="22" fontId="0" fillId="0" borderId="0" xfId="0" applyNumberFormat="1"/>
    <xf numFmtId="14" fontId="0" fillId="0" borderId="0" xfId="0" applyNumberFormat="1"/>
    <xf numFmtId="4" fontId="0" fillId="0" borderId="0" xfId="0" applyNumberFormat="1"/>
    <xf numFmtId="4" fontId="0" fillId="33" borderId="0" xfId="0" applyNumberFormat="1" applyFill="1"/>
    <xf numFmtId="0" fontId="0" fillId="33" borderId="0" xfId="0" applyFill="1"/>
    <xf numFmtId="4" fontId="0" fillId="34" borderId="0" xfId="0" applyNumberFormat="1" applyFill="1"/>
    <xf numFmtId="22" fontId="0" fillId="33" borderId="0" xfId="0" applyNumberFormat="1" applyFill="1"/>
    <xf numFmtId="14" fontId="0" fillId="33" borderId="0" xfId="0" applyNumberFormat="1" applyFill="1"/>
    <xf numFmtId="0" fontId="0" fillId="0" borderId="0" xfId="0"/>
    <xf numFmtId="22" fontId="0" fillId="0" borderId="0" xfId="0" applyNumberFormat="1"/>
    <xf numFmtId="14" fontId="0" fillId="0" borderId="0" xfId="0" applyNumberFormat="1"/>
    <xf numFmtId="4" fontId="0" fillId="0" borderId="0" xfId="0" applyNumberFormat="1"/>
    <xf numFmtId="0" fontId="0" fillId="0" borderId="0" xfId="0"/>
    <xf numFmtId="22" fontId="0" fillId="0" borderId="0" xfId="0" applyNumberFormat="1"/>
    <xf numFmtId="14" fontId="0" fillId="0" borderId="0" xfId="0" applyNumberFormat="1"/>
    <xf numFmtId="4" fontId="0" fillId="0" borderId="0" xfId="0" applyNumberFormat="1"/>
    <xf numFmtId="0" fontId="0" fillId="0" borderId="0" xfId="0"/>
    <xf numFmtId="22" fontId="0" fillId="0" borderId="0" xfId="0" applyNumberFormat="1"/>
    <xf numFmtId="14" fontId="0" fillId="0" borderId="0" xfId="0" applyNumberFormat="1"/>
    <xf numFmtId="4" fontId="0" fillId="0" borderId="0" xfId="0" applyNumberFormat="1"/>
    <xf numFmtId="0" fontId="0" fillId="0" borderId="0" xfId="0"/>
    <xf numFmtId="22" fontId="0" fillId="0" borderId="0" xfId="0" applyNumberFormat="1"/>
    <xf numFmtId="14" fontId="0" fillId="0" borderId="0" xfId="0" applyNumberFormat="1"/>
    <xf numFmtId="4" fontId="0" fillId="0" borderId="0" xfId="0" applyNumberFormat="1"/>
    <xf numFmtId="0" fontId="0" fillId="0" borderId="0" xfId="0"/>
    <xf numFmtId="22" fontId="0" fillId="0" borderId="0" xfId="0" applyNumberFormat="1"/>
    <xf numFmtId="14" fontId="0" fillId="0" borderId="0" xfId="0" applyNumberFormat="1"/>
    <xf numFmtId="4" fontId="0" fillId="0" borderId="0" xfId="0" applyNumberFormat="1"/>
    <xf numFmtId="0" fontId="0" fillId="0" borderId="0" xfId="0"/>
    <xf numFmtId="22" fontId="0" fillId="0" borderId="0" xfId="0" applyNumberFormat="1"/>
    <xf numFmtId="14" fontId="0" fillId="0" borderId="0" xfId="0" applyNumberFormat="1"/>
    <xf numFmtId="4" fontId="0" fillId="0" borderId="0" xfId="0" applyNumberFormat="1"/>
    <xf numFmtId="0" fontId="0" fillId="0" borderId="0" xfId="0"/>
    <xf numFmtId="22" fontId="0" fillId="0" borderId="0" xfId="0" applyNumberFormat="1"/>
    <xf numFmtId="14" fontId="0" fillId="0" borderId="0" xfId="0" applyNumberFormat="1"/>
    <xf numFmtId="4" fontId="0" fillId="0" borderId="0" xfId="0" applyNumberFormat="1"/>
    <xf numFmtId="0" fontId="0" fillId="0" borderId="0" xfId="0"/>
    <xf numFmtId="22" fontId="0" fillId="0" borderId="0" xfId="0" applyNumberFormat="1"/>
    <xf numFmtId="14" fontId="0" fillId="0" borderId="0" xfId="0" applyNumberFormat="1"/>
    <xf numFmtId="4" fontId="0" fillId="0" borderId="0" xfId="0" applyNumberFormat="1"/>
    <xf numFmtId="0" fontId="0" fillId="0" borderId="0" xfId="0"/>
    <xf numFmtId="22" fontId="0" fillId="0" borderId="0" xfId="0" applyNumberFormat="1"/>
    <xf numFmtId="14" fontId="0" fillId="0" borderId="0" xfId="0" applyNumberFormat="1"/>
    <xf numFmtId="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1"/>
  <sheetViews>
    <sheetView tabSelected="1" topLeftCell="A458" workbookViewId="0">
      <selection activeCell="C474" sqref="C474"/>
    </sheetView>
  </sheetViews>
  <sheetFormatPr defaultRowHeight="15" x14ac:dyDescent="0.25"/>
  <cols>
    <col min="1" max="1" width="8.85546875" customWidth="1"/>
    <col min="2" max="2" width="14.85546875" bestFit="1" customWidth="1"/>
    <col min="3" max="3" width="59.85546875" bestFit="1" customWidth="1"/>
    <col min="4" max="4" width="20" bestFit="1" customWidth="1"/>
    <col min="5" max="5" width="15.85546875" bestFit="1" customWidth="1"/>
    <col min="6" max="6" width="29.7109375" bestFit="1" customWidth="1"/>
    <col min="7" max="7" width="10.42578125" bestFit="1" customWidth="1"/>
    <col min="8" max="8" width="11.42578125" bestFit="1" customWidth="1"/>
    <col min="9" max="9" width="6.5703125" bestFit="1" customWidth="1"/>
  </cols>
  <sheetData>
    <row r="1" spans="1:9" x14ac:dyDescent="0.25">
      <c r="C1" t="s">
        <v>0</v>
      </c>
    </row>
    <row r="2" spans="1:9" x14ac:dyDescent="0.25">
      <c r="A2" t="s">
        <v>1</v>
      </c>
    </row>
    <row r="3" spans="1:9" x14ac:dyDescent="0.25">
      <c r="A3" t="s">
        <v>2</v>
      </c>
      <c r="E3" t="s">
        <v>3</v>
      </c>
      <c r="F3">
        <v>324416989</v>
      </c>
    </row>
    <row r="4" spans="1:9" x14ac:dyDescent="0.25">
      <c r="A4" t="s">
        <v>4</v>
      </c>
      <c r="E4" t="s">
        <v>5</v>
      </c>
      <c r="F4">
        <v>5112821050</v>
      </c>
    </row>
    <row r="5" spans="1:9" x14ac:dyDescent="0.25">
      <c r="A5" t="s">
        <v>6</v>
      </c>
      <c r="E5" t="s">
        <v>7</v>
      </c>
      <c r="F5" t="s">
        <v>8</v>
      </c>
    </row>
    <row r="6" spans="1:9" x14ac:dyDescent="0.25">
      <c r="A6" t="s">
        <v>9</v>
      </c>
      <c r="E6" t="s">
        <v>10</v>
      </c>
      <c r="F6" t="s">
        <v>11</v>
      </c>
    </row>
    <row r="7" spans="1:9" x14ac:dyDescent="0.25">
      <c r="A7" t="s">
        <v>12</v>
      </c>
      <c r="E7" t="s">
        <v>13</v>
      </c>
      <c r="F7" t="s">
        <v>14</v>
      </c>
    </row>
    <row r="8" spans="1:9" x14ac:dyDescent="0.25">
      <c r="A8" t="s">
        <v>15</v>
      </c>
      <c r="E8" t="s">
        <v>16</v>
      </c>
      <c r="F8" t="s">
        <v>17</v>
      </c>
    </row>
    <row r="9" spans="1:9" x14ac:dyDescent="0.25">
      <c r="A9">
        <v>682016</v>
      </c>
      <c r="E9" t="s">
        <v>18</v>
      </c>
    </row>
    <row r="11" spans="1:9" x14ac:dyDescent="0.25">
      <c r="A11" t="s">
        <v>19</v>
      </c>
      <c r="B11" t="s">
        <v>20</v>
      </c>
      <c r="C11" t="s">
        <v>21</v>
      </c>
      <c r="D11" t="s">
        <v>22</v>
      </c>
      <c r="E11" t="s">
        <v>23</v>
      </c>
      <c r="F11" t="s">
        <v>24</v>
      </c>
      <c r="G11" t="s">
        <v>25</v>
      </c>
      <c r="H11" t="s">
        <v>26</v>
      </c>
      <c r="I11" t="s">
        <v>27</v>
      </c>
    </row>
    <row r="12" spans="1:9" x14ac:dyDescent="0.25">
      <c r="A12">
        <v>13</v>
      </c>
      <c r="B12" s="1">
        <v>44286.747916666667</v>
      </c>
      <c r="C12" t="s">
        <v>28</v>
      </c>
      <c r="D12" t="s">
        <v>29</v>
      </c>
      <c r="E12" s="2">
        <v>44286</v>
      </c>
      <c r="G12" s="3">
        <v>16577</v>
      </c>
      <c r="H12" s="3">
        <v>721731.53</v>
      </c>
      <c r="I12" t="s">
        <v>30</v>
      </c>
    </row>
    <row r="13" spans="1:9" x14ac:dyDescent="0.25">
      <c r="A13">
        <v>14</v>
      </c>
      <c r="B13" s="1">
        <v>44287.46875</v>
      </c>
      <c r="C13" t="s">
        <v>31</v>
      </c>
      <c r="D13" t="s">
        <v>32</v>
      </c>
      <c r="E13" s="2">
        <v>44287</v>
      </c>
      <c r="F13" s="4">
        <v>10000</v>
      </c>
      <c r="H13" s="3">
        <v>711731.53</v>
      </c>
      <c r="I13" t="s">
        <v>30</v>
      </c>
    </row>
    <row r="14" spans="1:9" x14ac:dyDescent="0.25">
      <c r="A14">
        <v>15</v>
      </c>
      <c r="B14" s="1">
        <v>44288.256944444445</v>
      </c>
      <c r="C14" t="s">
        <v>33</v>
      </c>
      <c r="D14">
        <v>208227120</v>
      </c>
      <c r="E14" s="2">
        <v>44288</v>
      </c>
      <c r="F14" s="4">
        <v>33000</v>
      </c>
      <c r="H14" s="3">
        <v>678731.53</v>
      </c>
      <c r="I14" t="s">
        <v>30</v>
      </c>
    </row>
    <row r="15" spans="1:9" x14ac:dyDescent="0.25">
      <c r="A15">
        <v>16</v>
      </c>
      <c r="B15" s="1">
        <v>44288.470138888886</v>
      </c>
      <c r="C15" t="s">
        <v>34</v>
      </c>
      <c r="D15" t="s">
        <v>35</v>
      </c>
      <c r="E15" s="2">
        <v>44288</v>
      </c>
      <c r="F15" s="4">
        <v>6500</v>
      </c>
      <c r="H15" s="3">
        <v>672231.53</v>
      </c>
      <c r="I15" t="s">
        <v>30</v>
      </c>
    </row>
    <row r="16" spans="1:9" x14ac:dyDescent="0.25">
      <c r="A16">
        <v>17</v>
      </c>
      <c r="B16" s="1">
        <v>44288.479861111111</v>
      </c>
      <c r="C16" t="s">
        <v>36</v>
      </c>
      <c r="D16" t="s">
        <v>37</v>
      </c>
      <c r="E16" s="2">
        <v>44288</v>
      </c>
      <c r="F16" s="4">
        <v>15903.5</v>
      </c>
      <c r="H16" s="3">
        <v>656328.03</v>
      </c>
      <c r="I16" t="s">
        <v>30</v>
      </c>
    </row>
    <row r="17" spans="1:9" x14ac:dyDescent="0.25">
      <c r="A17">
        <v>4</v>
      </c>
      <c r="B17" s="1">
        <v>44289.544270833336</v>
      </c>
      <c r="C17" t="str">
        <f>"OS ASIANET ABB 1408659955"</f>
        <v>OS ASIANET ABB 1408659955</v>
      </c>
      <c r="D17" t="str">
        <f>"KPG-0135481787"</f>
        <v>KPG-0135481787</v>
      </c>
      <c r="E17" s="2">
        <v>44289</v>
      </c>
      <c r="F17" s="5">
        <v>831.81</v>
      </c>
      <c r="H17" s="3">
        <v>655496.22</v>
      </c>
      <c r="I17" t="s">
        <v>30</v>
      </c>
    </row>
    <row r="18" spans="1:9" x14ac:dyDescent="0.25">
      <c r="A18">
        <v>5</v>
      </c>
      <c r="B18" s="1">
        <v>44291.332766203705</v>
      </c>
      <c r="C18" t="str">
        <f>"IB   HDFC                        Ref 109507246206"</f>
        <v>IB   HDFC                        Ref 109507246206</v>
      </c>
      <c r="D18" t="str">
        <f>"IMPS-109507246072"</f>
        <v>IMPS-109507246072</v>
      </c>
      <c r="E18" s="2">
        <v>44291</v>
      </c>
      <c r="F18" s="4">
        <v>45000</v>
      </c>
      <c r="H18" s="3">
        <v>610496.22</v>
      </c>
      <c r="I18" t="s">
        <v>30</v>
      </c>
    </row>
    <row r="19" spans="1:9" x14ac:dyDescent="0.25">
      <c r="A19">
        <v>2</v>
      </c>
      <c r="B19" s="1">
        <v>44291.622233796297</v>
      </c>
      <c r="C19" t="str">
        <f>"IB: ETAX EPFONEW 0017739589"</f>
        <v>IB: ETAX EPFONEW 0017739589</v>
      </c>
      <c r="D19" t="str">
        <f>"GBM-0017739589"</f>
        <v>GBM-0017739589</v>
      </c>
      <c r="E19" s="2">
        <v>44291</v>
      </c>
      <c r="F19" s="5">
        <v>75</v>
      </c>
      <c r="H19" s="3">
        <v>610421.22</v>
      </c>
      <c r="I19" t="s">
        <v>30</v>
      </c>
    </row>
    <row r="20" spans="1:9" x14ac:dyDescent="0.25">
      <c r="A20">
        <v>3</v>
      </c>
      <c r="B20" s="1">
        <v>44291.625983796293</v>
      </c>
      <c r="C20" t="str">
        <f>"IB: ETAX EPFONEW 0017739697"</f>
        <v>IB: ETAX EPFONEW 0017739697</v>
      </c>
      <c r="D20" t="str">
        <f>"GBM-0017739697"</f>
        <v>GBM-0017739697</v>
      </c>
      <c r="E20" s="2">
        <v>44291</v>
      </c>
      <c r="F20" s="5">
        <v>125</v>
      </c>
      <c r="H20" s="3">
        <v>610296.22</v>
      </c>
      <c r="I20" t="s">
        <v>30</v>
      </c>
    </row>
    <row r="21" spans="1:9" x14ac:dyDescent="0.25">
      <c r="A21">
        <v>4</v>
      </c>
      <c r="B21" s="1">
        <v>44291.626921296294</v>
      </c>
      <c r="C21" t="str">
        <f>"IB: ETAX EPFONEW 0017739727"</f>
        <v>IB: ETAX EPFONEW 0017739727</v>
      </c>
      <c r="D21" t="str">
        <f>"GBM-0017739727"</f>
        <v>GBM-0017739727</v>
      </c>
      <c r="E21" s="2">
        <v>44291</v>
      </c>
      <c r="F21" s="5">
        <v>125</v>
      </c>
      <c r="H21" s="3">
        <v>610171.22</v>
      </c>
      <c r="I21" t="s">
        <v>30</v>
      </c>
    </row>
    <row r="22" spans="1:9" x14ac:dyDescent="0.25">
      <c r="A22">
        <v>5</v>
      </c>
      <c r="B22" s="1">
        <v>44291.627951388888</v>
      </c>
      <c r="C22" t="str">
        <f>"IB: ETAX EPFONEW 0017739763"</f>
        <v>IB: ETAX EPFONEW 0017739763</v>
      </c>
      <c r="D22" t="str">
        <f>"GBM-0017739763"</f>
        <v>GBM-0017739763</v>
      </c>
      <c r="E22" s="2">
        <v>44291</v>
      </c>
      <c r="F22" s="5">
        <v>125</v>
      </c>
      <c r="H22" s="3">
        <v>610046.22</v>
      </c>
      <c r="I22" t="s">
        <v>30</v>
      </c>
    </row>
    <row r="23" spans="1:9" x14ac:dyDescent="0.25">
      <c r="A23">
        <v>6</v>
      </c>
      <c r="B23" s="1">
        <v>44291.629131944443</v>
      </c>
      <c r="C23" t="str">
        <f>"IB: ETAX EPFONEW 0017739798"</f>
        <v>IB: ETAX EPFONEW 0017739798</v>
      </c>
      <c r="D23" t="str">
        <f>"GBM-0017739798"</f>
        <v>GBM-0017739798</v>
      </c>
      <c r="E23" s="2">
        <v>44291</v>
      </c>
      <c r="F23" s="5">
        <v>125</v>
      </c>
      <c r="H23" s="3">
        <v>609921.22</v>
      </c>
      <c r="I23" t="s">
        <v>30</v>
      </c>
    </row>
    <row r="24" spans="1:9" x14ac:dyDescent="0.25">
      <c r="A24">
        <v>7</v>
      </c>
      <c r="B24" s="1">
        <v>44292.387476851851</v>
      </c>
      <c r="C24" t="str">
        <f>"IB   HDFC                        Ref 109609690844"</f>
        <v>IB   HDFC                        Ref 109609690844</v>
      </c>
      <c r="D24" t="str">
        <f>"IMPS-109609690845"</f>
        <v>IMPS-109609690845</v>
      </c>
      <c r="E24" s="2">
        <v>44292</v>
      </c>
      <c r="F24" s="4">
        <v>40000</v>
      </c>
      <c r="H24" s="3">
        <v>569921.22</v>
      </c>
      <c r="I24" t="s">
        <v>30</v>
      </c>
    </row>
    <row r="25" spans="1:9" x14ac:dyDescent="0.25">
      <c r="A25">
        <v>2</v>
      </c>
      <c r="B25" s="1">
        <v>44292.613402777781</v>
      </c>
      <c r="C25" t="str">
        <f>"BY CLG INST 4833/03-04-21/BOB/KOCHI"</f>
        <v>BY CLG INST 4833/03-04-21/BOB/KOCHI</v>
      </c>
      <c r="D25" t="str">
        <f>""</f>
        <v/>
      </c>
      <c r="E25" s="2">
        <v>44292</v>
      </c>
      <c r="G25" s="3">
        <v>113691</v>
      </c>
      <c r="H25" s="3">
        <v>683612.22</v>
      </c>
      <c r="I25" t="s">
        <v>30</v>
      </c>
    </row>
    <row r="26" spans="1:9" x14ac:dyDescent="0.25">
      <c r="A26">
        <v>3</v>
      </c>
      <c r="B26" s="1">
        <v>44293.365636574075</v>
      </c>
      <c r="C26" t="str">
        <f>"IB   HDFC                        Ref 109708897107"</f>
        <v>IB   HDFC                        Ref 109708897107</v>
      </c>
      <c r="D26" t="str">
        <f>"IMPS-109708897030"</f>
        <v>IMPS-109708897030</v>
      </c>
      <c r="E26" s="2">
        <v>44293</v>
      </c>
      <c r="F26" s="4">
        <v>10000</v>
      </c>
      <c r="H26" s="3">
        <v>673612.22</v>
      </c>
      <c r="I26" t="s">
        <v>30</v>
      </c>
    </row>
    <row r="27" spans="1:9" x14ac:dyDescent="0.25">
      <c r="A27">
        <v>2</v>
      </c>
      <c r="B27" s="1">
        <v>44293.598715277774</v>
      </c>
      <c r="C27" t="str">
        <f>"NEFT AXIC210975520337 NAUTICAL CARGO PRIVATE LIMI"</f>
        <v>NEFT AXIC210975520337 NAUTICAL CARGO PRIVATE LIMI</v>
      </c>
      <c r="D27" t="str">
        <f>"NEFTINW-0281535798"</f>
        <v>NEFTINW-0281535798</v>
      </c>
      <c r="E27" s="2">
        <v>44293</v>
      </c>
      <c r="G27" s="3">
        <v>26579.7</v>
      </c>
      <c r="H27" s="3">
        <v>700191.92</v>
      </c>
      <c r="I27" t="s">
        <v>30</v>
      </c>
    </row>
    <row r="28" spans="1:9" x14ac:dyDescent="0.25">
      <c r="A28">
        <v>3</v>
      </c>
      <c r="B28" s="1">
        <v>44294.361180555556</v>
      </c>
      <c r="C28" t="str">
        <f>"IB   HDFC                        Ref 109808130765"</f>
        <v>IB   HDFC                        Ref 109808130765</v>
      </c>
      <c r="D28" t="str">
        <f>"IMPS-109808130906"</f>
        <v>IMPS-109808130906</v>
      </c>
      <c r="E28" s="2">
        <v>44294</v>
      </c>
      <c r="F28" s="4">
        <v>10000</v>
      </c>
      <c r="H28" s="3">
        <v>690191.92</v>
      </c>
      <c r="I28" t="s">
        <v>30</v>
      </c>
    </row>
    <row r="29" spans="1:9" x14ac:dyDescent="0.25">
      <c r="A29">
        <v>2</v>
      </c>
      <c r="B29" s="1">
        <v>44294.652453703704</v>
      </c>
      <c r="C29" t="str">
        <f>"IB   ECHT                        Ref 109815663985"</f>
        <v>IB   ECHT                        Ref 109815663985</v>
      </c>
      <c r="D29" t="str">
        <f>"IMPS-109815663986"</f>
        <v>IMPS-109815663986</v>
      </c>
      <c r="E29" s="2">
        <v>44294</v>
      </c>
      <c r="F29" s="3">
        <v>134324</v>
      </c>
      <c r="H29" s="3">
        <v>555867.92000000004</v>
      </c>
      <c r="I29" t="s">
        <v>30</v>
      </c>
    </row>
    <row r="30" spans="1:9" x14ac:dyDescent="0.25">
      <c r="A30">
        <v>3</v>
      </c>
      <c r="B30" s="1">
        <v>44295.577175925922</v>
      </c>
      <c r="C30" t="str">
        <f>"NEFT FDRLH21099892329 COMPASS LOGISTICS INTERNATI"</f>
        <v>NEFT FDRLH21099892329 COMPASS LOGISTICS INTERNATI</v>
      </c>
      <c r="D30" t="str">
        <f>"NEFTINW-0282200165"</f>
        <v>NEFTINW-0282200165</v>
      </c>
      <c r="E30" s="2">
        <v>44295</v>
      </c>
      <c r="G30" s="3">
        <v>827730</v>
      </c>
      <c r="H30" s="3">
        <v>1383597.92</v>
      </c>
      <c r="I30" t="s">
        <v>30</v>
      </c>
    </row>
    <row r="31" spans="1:9" x14ac:dyDescent="0.25">
      <c r="A31">
        <v>4</v>
      </c>
      <c r="B31" s="1">
        <v>44295.629293981481</v>
      </c>
      <c r="C31" t="str">
        <f>"MB SECURITY                      Ref 109915857233"</f>
        <v>MB SECURITY                      Ref 109915857233</v>
      </c>
      <c r="D31" t="str">
        <f>"IMPS-109915857236"</f>
        <v>IMPS-109915857236</v>
      </c>
      <c r="E31" s="2">
        <v>44295</v>
      </c>
      <c r="F31" s="3">
        <v>50000</v>
      </c>
      <c r="H31" s="3">
        <v>1333597.92</v>
      </c>
      <c r="I31" t="s">
        <v>30</v>
      </c>
    </row>
    <row r="32" spans="1:9" x14ac:dyDescent="0.25">
      <c r="A32">
        <v>5</v>
      </c>
      <c r="B32" s="1">
        <v>44295.66133101852</v>
      </c>
      <c r="C32" t="str">
        <f>"Sent RTGS KKBKR52021040900764662/TLPL INTEGRA"</f>
        <v>Sent RTGS KKBKR52021040900764662/TLPL INTEGRA</v>
      </c>
      <c r="D32" t="str">
        <f>"142"</f>
        <v>142</v>
      </c>
      <c r="E32" s="2">
        <v>44295</v>
      </c>
      <c r="F32" s="3">
        <v>758005</v>
      </c>
      <c r="H32" s="3">
        <v>575592.92000000004</v>
      </c>
      <c r="I32" t="s">
        <v>30</v>
      </c>
    </row>
    <row r="33" spans="1:9" x14ac:dyDescent="0.25">
      <c r="A33">
        <v>6</v>
      </c>
      <c r="B33" s="1">
        <v>44295.670983796299</v>
      </c>
      <c r="C33" t="str">
        <f>"NEFT FB25L2109976298 SAFERA FOOD INT FDRL0000037"</f>
        <v>NEFT FB25L2109976298 SAFERA FOOD INT FDRL0000037</v>
      </c>
      <c r="D33" t="str">
        <f>"NEFTINW-0282261146"</f>
        <v>NEFTINW-0282261146</v>
      </c>
      <c r="E33" s="2">
        <v>44295</v>
      </c>
      <c r="G33" s="3">
        <v>449269</v>
      </c>
      <c r="H33" s="3">
        <v>1024861.92</v>
      </c>
      <c r="I33" t="s">
        <v>30</v>
      </c>
    </row>
    <row r="34" spans="1:9" x14ac:dyDescent="0.25">
      <c r="A34">
        <v>7</v>
      </c>
      <c r="B34" s="1">
        <v>44295.675300925926</v>
      </c>
      <c r="C34" t="str">
        <f>"RTGS INDBR22021040900473169 LEAAP INTERNATIONAL"</f>
        <v>RTGS INDBR22021040900473169 LEAAP INTERNATIONAL</v>
      </c>
      <c r="D34" t="str">
        <f>"RTGSINW-0038157388"</f>
        <v>RTGSINW-0038157388</v>
      </c>
      <c r="E34" s="2">
        <v>44295</v>
      </c>
      <c r="G34" s="3">
        <v>266256</v>
      </c>
      <c r="H34" s="3">
        <v>1291117.92</v>
      </c>
      <c r="I34" t="s">
        <v>30</v>
      </c>
    </row>
    <row r="35" spans="1:9" x14ac:dyDescent="0.25">
      <c r="A35">
        <v>8</v>
      </c>
      <c r="B35" s="1">
        <v>44295.686990740738</v>
      </c>
      <c r="C35" t="str">
        <f>"MB:STATIATICS"</f>
        <v>MB:STATIATICS</v>
      </c>
      <c r="D35" t="str">
        <f>"MB-999284678882"</f>
        <v>MB-999284678882</v>
      </c>
      <c r="E35" s="2">
        <v>44295</v>
      </c>
      <c r="F35" s="4">
        <v>5000</v>
      </c>
      <c r="H35" s="3">
        <v>1286117.92</v>
      </c>
      <c r="I35" t="s">
        <v>30</v>
      </c>
    </row>
    <row r="36" spans="1:9" x14ac:dyDescent="0.25">
      <c r="A36">
        <v>9</v>
      </c>
      <c r="B36" s="1">
        <v>44295.715694444443</v>
      </c>
      <c r="C36" t="str">
        <f>"TO 1048"</f>
        <v>TO 1048</v>
      </c>
      <c r="D36" t="str">
        <f>"IB"</f>
        <v>IB</v>
      </c>
      <c r="E36" s="2">
        <v>44295</v>
      </c>
      <c r="F36" s="3">
        <v>449269</v>
      </c>
      <c r="H36" s="3">
        <v>836848.92</v>
      </c>
      <c r="I36" t="s">
        <v>30</v>
      </c>
    </row>
    <row r="37" spans="1:9" x14ac:dyDescent="0.25">
      <c r="A37">
        <v>8</v>
      </c>
      <c r="B37" s="1">
        <v>44298.457731481481</v>
      </c>
      <c r="C37" t="str">
        <f>"IB: ETAX EPFONEW 0017788067"</f>
        <v>IB: ETAX EPFONEW 0017788067</v>
      </c>
      <c r="D37" t="str">
        <f>"GBM-0017788067"</f>
        <v>GBM-0017788067</v>
      </c>
      <c r="E37" s="2">
        <v>44298</v>
      </c>
      <c r="F37" s="3">
        <v>15677</v>
      </c>
      <c r="H37" s="3">
        <v>821171.92</v>
      </c>
      <c r="I37" t="s">
        <v>30</v>
      </c>
    </row>
    <row r="38" spans="1:9" x14ac:dyDescent="0.25">
      <c r="A38">
        <v>9</v>
      </c>
      <c r="B38" s="1">
        <v>44298.459270833337</v>
      </c>
      <c r="C38" t="str">
        <f>"IB: ETAX EPFONEW 0017788100"</f>
        <v>IB: ETAX EPFONEW 0017788100</v>
      </c>
      <c r="D38" t="str">
        <f>"GBM-0017788100"</f>
        <v>GBM-0017788100</v>
      </c>
      <c r="E38" s="2">
        <v>44298</v>
      </c>
      <c r="F38" s="3">
        <v>69454</v>
      </c>
      <c r="H38" s="3">
        <v>751717.92</v>
      </c>
      <c r="I38" t="s">
        <v>30</v>
      </c>
    </row>
    <row r="39" spans="1:9" x14ac:dyDescent="0.25">
      <c r="A39">
        <v>3</v>
      </c>
      <c r="B39" s="1">
        <v>44299.608171296299</v>
      </c>
      <c r="C39" t="str">
        <f>"NEFT AXIC211038414278 J R METALS UTIB0001800"</f>
        <v>NEFT AXIC211038414278 J R METALS UTIB0001800</v>
      </c>
      <c r="D39" t="str">
        <f>"NEFTINW-0283052617"</f>
        <v>NEFTINW-0283052617</v>
      </c>
      <c r="E39" s="2">
        <v>44299</v>
      </c>
      <c r="G39" s="3">
        <v>80720</v>
      </c>
      <c r="H39" s="3">
        <v>832437.92</v>
      </c>
      <c r="I39" t="s">
        <v>30</v>
      </c>
    </row>
    <row r="40" spans="1:9" x14ac:dyDescent="0.25">
      <c r="A40">
        <v>4</v>
      </c>
      <c r="B40" s="1">
        <v>44300.846006944441</v>
      </c>
      <c r="C40" t="str">
        <f>"NEFT N104211474822653 INTERGULF SHIPPING LINE PRI"</f>
        <v>NEFT N104211474822653 INTERGULF SHIPPING LINE PRI</v>
      </c>
      <c r="D40" t="str">
        <f>"NEFTINW-0283253322"</f>
        <v>NEFTINW-0283253322</v>
      </c>
      <c r="E40" s="2">
        <v>44300</v>
      </c>
      <c r="G40">
        <v>472</v>
      </c>
      <c r="H40" s="3">
        <v>832909.92</v>
      </c>
      <c r="I40" t="s">
        <v>30</v>
      </c>
    </row>
    <row r="41" spans="1:9" x14ac:dyDescent="0.25">
      <c r="A41">
        <v>2</v>
      </c>
      <c r="B41" s="1">
        <v>44301.513506944444</v>
      </c>
      <c r="C41" t="str">
        <f>"NEFT N105211475355648 PH VALUE SHIPPING PRIVATE L"</f>
        <v>NEFT N105211475355648 PH VALUE SHIPPING PRIVATE L</v>
      </c>
      <c r="D41" t="str">
        <f>"NEFTINW-0283332894"</f>
        <v>NEFTINW-0283332894</v>
      </c>
      <c r="E41" s="2">
        <v>44301</v>
      </c>
      <c r="G41" s="3">
        <v>20963</v>
      </c>
      <c r="H41" s="3">
        <v>853872.92</v>
      </c>
      <c r="I41" t="s">
        <v>30</v>
      </c>
    </row>
    <row r="42" spans="1:9" x14ac:dyDescent="0.25">
      <c r="A42">
        <v>3</v>
      </c>
      <c r="B42" s="1">
        <v>44301.538634259261</v>
      </c>
      <c r="C42" t="str">
        <f>"FUND TR TO SHIPMENT SOLUTIONS PVT LTD AC 511283669"</f>
        <v>FUND TR TO SHIPMENT SOLUTIONS PVT LTD AC 511283669</v>
      </c>
      <c r="D42" t="str">
        <f>"144"</f>
        <v>144</v>
      </c>
      <c r="E42" s="2">
        <v>44301</v>
      </c>
      <c r="F42" s="4">
        <v>700000</v>
      </c>
      <c r="H42" s="3">
        <v>153872.92000000001</v>
      </c>
      <c r="I42" t="s">
        <v>30</v>
      </c>
    </row>
    <row r="43" spans="1:9" x14ac:dyDescent="0.25">
      <c r="A43">
        <v>4</v>
      </c>
      <c r="B43" s="1">
        <v>44301.61142361111</v>
      </c>
      <c r="C43" t="str">
        <f>"TO 1018"</f>
        <v>TO 1018</v>
      </c>
      <c r="D43" t="str">
        <f>"IB"</f>
        <v>IB</v>
      </c>
      <c r="E43" s="2">
        <v>44301</v>
      </c>
      <c r="F43" s="4">
        <v>75000</v>
      </c>
      <c r="H43" s="3">
        <v>78872.92</v>
      </c>
      <c r="I43" t="s">
        <v>30</v>
      </c>
    </row>
    <row r="44" spans="1:9" x14ac:dyDescent="0.25">
      <c r="A44">
        <v>5</v>
      </c>
      <c r="B44" s="1">
        <v>44301.735763888886</v>
      </c>
      <c r="C44" t="str">
        <f>"NEFT FDRLH21105565944 COMPASS LOGISTICS INTERNATI"</f>
        <v>NEFT FDRLH21105565944 COMPASS LOGISTICS INTERNATI</v>
      </c>
      <c r="D44" t="str">
        <f>"NEFTINW-0283486729"</f>
        <v>NEFTINW-0283486729</v>
      </c>
      <c r="E44" s="2">
        <v>44301</v>
      </c>
      <c r="G44" s="3">
        <v>795128</v>
      </c>
      <c r="H44" s="3">
        <v>874000.92</v>
      </c>
      <c r="I44" t="s">
        <v>30</v>
      </c>
    </row>
    <row r="45" spans="1:9" x14ac:dyDescent="0.25">
      <c r="A45">
        <v>6</v>
      </c>
      <c r="B45" s="1">
        <v>44302.327569444446</v>
      </c>
      <c r="C45" t="str">
        <f>"IB   HDFC                        Ref 110607747492"</f>
        <v>IB   HDFC                        Ref 110607747492</v>
      </c>
      <c r="D45" t="str">
        <f>"IMPS-110607747380"</f>
        <v>IMPS-110607747380</v>
      </c>
      <c r="E45" s="2">
        <v>44302</v>
      </c>
      <c r="F45" s="4">
        <v>23000</v>
      </c>
      <c r="H45" s="3">
        <v>851000.92</v>
      </c>
      <c r="I45" t="s">
        <v>30</v>
      </c>
    </row>
    <row r="46" spans="1:9" x14ac:dyDescent="0.25">
      <c r="A46">
        <v>2</v>
      </c>
      <c r="B46" s="1">
        <v>44302.467881944445</v>
      </c>
      <c r="C46" t="str">
        <f>"Sent RTGS KKBKR52021041600780391/TLPL INTEGRA"</f>
        <v>Sent RTGS KKBKR52021041600780391/TLPL INTEGRA</v>
      </c>
      <c r="D46" t="str">
        <f>"145"</f>
        <v>145</v>
      </c>
      <c r="E46" s="2">
        <v>44302</v>
      </c>
      <c r="F46" s="3">
        <v>790189</v>
      </c>
      <c r="H46" s="3">
        <v>60811.92</v>
      </c>
      <c r="I46" t="s">
        <v>30</v>
      </c>
    </row>
    <row r="47" spans="1:9" x14ac:dyDescent="0.25">
      <c r="A47">
        <v>3</v>
      </c>
      <c r="B47" s="1">
        <v>44302.489004629628</v>
      </c>
      <c r="C47" t="str">
        <f>"NEFT N106211476731337 PERMA SHIPPING LINE INDIA P"</f>
        <v>NEFT N106211476731337 PERMA SHIPPING LINE INDIA P</v>
      </c>
      <c r="D47" t="str">
        <f>"NEFTINW-0283662236"</f>
        <v>NEFTINW-0283662236</v>
      </c>
      <c r="E47" s="2">
        <v>44302</v>
      </c>
      <c r="G47" s="3">
        <v>44086.13</v>
      </c>
      <c r="H47" s="3">
        <v>104898.05</v>
      </c>
      <c r="I47" t="s">
        <v>30</v>
      </c>
    </row>
    <row r="48" spans="1:9" x14ac:dyDescent="0.25">
      <c r="A48">
        <v>4</v>
      </c>
      <c r="B48" s="1">
        <v>44302.548541666663</v>
      </c>
      <c r="C48" t="str">
        <f>"BY CLG INST 854935/15-04-21/IOB/KOCHI"</f>
        <v>BY CLG INST 854935/15-04-21/IOB/KOCHI</v>
      </c>
      <c r="D48" t="str">
        <f>""</f>
        <v/>
      </c>
      <c r="E48" s="2">
        <v>44302</v>
      </c>
      <c r="G48" s="3">
        <v>45043</v>
      </c>
      <c r="H48" s="3">
        <v>149941.04999999999</v>
      </c>
      <c r="I48" t="s">
        <v>30</v>
      </c>
    </row>
    <row r="49" spans="1:9" x14ac:dyDescent="0.25">
      <c r="A49">
        <v>5</v>
      </c>
      <c r="B49" s="1">
        <v>44302.619571759256</v>
      </c>
      <c r="C49" t="str">
        <f>"NEFT N106211476988446 ENTRYWAY SHIPPING AND LOGIS"</f>
        <v>NEFT N106211476988446 ENTRYWAY SHIPPING AND LOGIS</v>
      </c>
      <c r="D49" t="str">
        <f>"NEFTINW-0283726431"</f>
        <v>NEFTINW-0283726431</v>
      </c>
      <c r="E49" s="2">
        <v>44302</v>
      </c>
      <c r="G49" s="3">
        <v>50000</v>
      </c>
      <c r="H49" s="3">
        <v>199941.05</v>
      </c>
      <c r="I49" t="s">
        <v>30</v>
      </c>
    </row>
    <row r="50" spans="1:9" x14ac:dyDescent="0.25">
      <c r="A50">
        <v>6</v>
      </c>
      <c r="B50" s="1">
        <v>44302.624444444446</v>
      </c>
      <c r="C50" t="str">
        <f>"NEFT FB25L2110639109 SAFERA FOOD INT FDRL0000037"</f>
        <v>NEFT FB25L2110639109 SAFERA FOOD INT FDRL0000037</v>
      </c>
      <c r="D50" t="str">
        <f>"NEFTINW-0283727109"</f>
        <v>NEFTINW-0283727109</v>
      </c>
      <c r="E50" s="2">
        <v>44302</v>
      </c>
      <c r="G50" s="3">
        <v>441312</v>
      </c>
      <c r="H50" s="3">
        <v>641253.05000000005</v>
      </c>
      <c r="I50" t="s">
        <v>30</v>
      </c>
    </row>
    <row r="51" spans="1:9" x14ac:dyDescent="0.25">
      <c r="A51">
        <v>7</v>
      </c>
      <c r="B51" s="1">
        <v>44302.706273148149</v>
      </c>
      <c r="C51" t="str">
        <f>"BY TFR CHQ 002239 FR SHIPMENT SOLUTIONS PVT LTD"</f>
        <v>BY TFR CHQ 002239 FR SHIPMENT SOLUTIONS PVT LTD</v>
      </c>
      <c r="D51" t="str">
        <f>""</f>
        <v/>
      </c>
      <c r="E51" s="2">
        <v>44302</v>
      </c>
      <c r="G51" s="3">
        <v>775000</v>
      </c>
      <c r="H51" s="3">
        <v>1416253.05</v>
      </c>
      <c r="I51" t="s">
        <v>30</v>
      </c>
    </row>
    <row r="52" spans="1:9" x14ac:dyDescent="0.25">
      <c r="A52">
        <v>8</v>
      </c>
      <c r="B52" s="1">
        <v>44303.403993055559</v>
      </c>
      <c r="C52" t="str">
        <f>"IB   HDFC                        Ref 110709874701"</f>
        <v>IB   HDFC                        Ref 110709874701</v>
      </c>
      <c r="D52" t="str">
        <f>"IMPS-110709874703"</f>
        <v>IMPS-110709874703</v>
      </c>
      <c r="E52" s="2">
        <v>44303</v>
      </c>
      <c r="F52" s="4">
        <v>50000</v>
      </c>
      <c r="H52" s="3">
        <v>1366253.05</v>
      </c>
      <c r="I52" t="s">
        <v>30</v>
      </c>
    </row>
    <row r="53" spans="1:9" x14ac:dyDescent="0.25">
      <c r="A53">
        <v>2</v>
      </c>
      <c r="B53" s="1">
        <v>44303.518564814818</v>
      </c>
      <c r="C53" t="str">
        <f>"IB:VASCO SOA"</f>
        <v>IB:VASCO SOA</v>
      </c>
      <c r="D53" t="str">
        <f>"000210602183"</f>
        <v>000210602183</v>
      </c>
      <c r="E53" s="2">
        <v>44303</v>
      </c>
      <c r="F53" s="3">
        <v>500000</v>
      </c>
      <c r="H53" s="3">
        <v>866253.05</v>
      </c>
      <c r="I53" t="s">
        <v>30</v>
      </c>
    </row>
    <row r="54" spans="1:9" x14ac:dyDescent="0.25">
      <c r="A54">
        <v>3</v>
      </c>
      <c r="B54" s="1">
        <v>44303.556666666664</v>
      </c>
      <c r="C54" t="str">
        <f>"BY CLG INST 854934/15-04-21/IOB/KOCHI"</f>
        <v>BY CLG INST 854934/15-04-21/IOB/KOCHI</v>
      </c>
      <c r="D54" t="str">
        <f>""</f>
        <v/>
      </c>
      <c r="E54" s="2">
        <v>44303</v>
      </c>
      <c r="G54" s="3">
        <v>74353</v>
      </c>
      <c r="H54" s="3">
        <v>940606.05</v>
      </c>
      <c r="I54" t="s">
        <v>30</v>
      </c>
    </row>
    <row r="55" spans="1:9" x14ac:dyDescent="0.25">
      <c r="A55">
        <v>4</v>
      </c>
      <c r="B55" s="1">
        <v>44305.543564814812</v>
      </c>
      <c r="C55" t="str">
        <f>"NEFT N109211478949941 ENTRYWAY SHIPPING AND LOGIS"</f>
        <v>NEFT N109211478949941 ENTRYWAY SHIPPING AND LOGIS</v>
      </c>
      <c r="D55" t="str">
        <f>"NEFTINW-0284165652"</f>
        <v>NEFTINW-0284165652</v>
      </c>
      <c r="E55" s="2">
        <v>44305</v>
      </c>
      <c r="G55" s="3">
        <v>100000</v>
      </c>
      <c r="H55" s="3">
        <v>1040606.05</v>
      </c>
      <c r="I55" t="s">
        <v>30</v>
      </c>
    </row>
    <row r="56" spans="1:9" x14ac:dyDescent="0.25">
      <c r="A56">
        <v>5</v>
      </c>
      <c r="B56" s="1">
        <v>44305.659699074073</v>
      </c>
      <c r="C56" t="str">
        <f>"FUND TR TO SHIPMENT SOLUTIONS PVT LTD"</f>
        <v>FUND TR TO SHIPMENT SOLUTIONS PVT LTD</v>
      </c>
      <c r="D56" t="str">
        <f>"146"</f>
        <v>146</v>
      </c>
      <c r="E56" s="2">
        <v>44305</v>
      </c>
      <c r="F56" s="3">
        <v>441312</v>
      </c>
      <c r="H56" s="3">
        <v>599294.05000000005</v>
      </c>
      <c r="I56" t="s">
        <v>30</v>
      </c>
    </row>
    <row r="57" spans="1:9" x14ac:dyDescent="0.25">
      <c r="A57">
        <v>3</v>
      </c>
      <c r="B57" s="1">
        <v>44306.565196759257</v>
      </c>
      <c r="C57" t="str">
        <f>"IB   TOPNB                       Ref 111013890985"</f>
        <v>IB   TOPNB                       Ref 111013890985</v>
      </c>
      <c r="D57" t="str">
        <f>"IMPS-111013890738"</f>
        <v>IMPS-111013890738</v>
      </c>
      <c r="E57" s="2">
        <v>44306</v>
      </c>
      <c r="F57" s="4">
        <v>80000</v>
      </c>
      <c r="H57" s="3">
        <v>519294.05</v>
      </c>
      <c r="I57" t="s">
        <v>30</v>
      </c>
    </row>
    <row r="58" spans="1:9" x14ac:dyDescent="0.25">
      <c r="A58">
        <v>4</v>
      </c>
      <c r="B58" s="1">
        <v>44306.646655092591</v>
      </c>
      <c r="C58" t="str">
        <f>"MB:PETTY CASH"</f>
        <v>MB:PETTY CASH</v>
      </c>
      <c r="D58" t="str">
        <f>"MB-999280346265"</f>
        <v>MB-999280346265</v>
      </c>
      <c r="E58" s="2">
        <v>44306</v>
      </c>
      <c r="F58" s="4">
        <v>5000</v>
      </c>
      <c r="H58" s="3">
        <v>514294.05</v>
      </c>
      <c r="I58" t="s">
        <v>30</v>
      </c>
    </row>
    <row r="59" spans="1:9" x14ac:dyDescent="0.25">
      <c r="A59">
        <v>5</v>
      </c>
      <c r="B59" s="1">
        <v>44306.693877314814</v>
      </c>
      <c r="C59" t="str">
        <f>"NEFT SIBLN21110418830 J J STEELS SIBL0000513"</f>
        <v>NEFT SIBLN21110418830 J J STEELS SIBL0000513</v>
      </c>
      <c r="D59" t="str">
        <f>"NEFTINW-0284481992"</f>
        <v>NEFTINW-0284481992</v>
      </c>
      <c r="E59" s="2">
        <v>44306</v>
      </c>
      <c r="G59" s="3">
        <v>167280</v>
      </c>
      <c r="H59" s="3">
        <v>681574.05</v>
      </c>
      <c r="I59" t="s">
        <v>30</v>
      </c>
    </row>
    <row r="60" spans="1:9" x14ac:dyDescent="0.25">
      <c r="A60">
        <v>6</v>
      </c>
      <c r="B60" s="1">
        <v>44306.721145833333</v>
      </c>
      <c r="C60" t="str">
        <f>"NEFT 000338111560 SWIFT CARGO PRIVATE LIMITED IND"</f>
        <v>NEFT 000338111560 SWIFT CARGO PRIVATE LIMITED IND</v>
      </c>
      <c r="D60" t="str">
        <f>"NEFTINW-0284502834"</f>
        <v>NEFTINW-0284502834</v>
      </c>
      <c r="E60" s="2">
        <v>44306</v>
      </c>
      <c r="G60" s="3">
        <v>142181</v>
      </c>
      <c r="H60" s="3">
        <v>823755.05</v>
      </c>
      <c r="I60" t="s">
        <v>30</v>
      </c>
    </row>
    <row r="61" spans="1:9" x14ac:dyDescent="0.25">
      <c r="A61">
        <v>7</v>
      </c>
      <c r="B61" s="1">
        <v>44306.8281712963</v>
      </c>
      <c r="C61" t="str">
        <f>"FUND TRANSFER-CMS-FROM PAYPCHN"</f>
        <v>FUND TRANSFER-CMS-FROM PAYPCHN</v>
      </c>
      <c r="D61" t="str">
        <f>"CMS-210420002UAZ"</f>
        <v>CMS-210420002UAZ</v>
      </c>
      <c r="E61" s="2">
        <v>44306</v>
      </c>
      <c r="G61" s="3">
        <v>74995.42</v>
      </c>
      <c r="H61" s="3">
        <v>898750.47</v>
      </c>
      <c r="I61" t="s">
        <v>30</v>
      </c>
    </row>
    <row r="62" spans="1:9" x14ac:dyDescent="0.25">
      <c r="A62">
        <v>8</v>
      </c>
      <c r="B62" s="1">
        <v>44307.35</v>
      </c>
      <c r="C62" t="str">
        <f>"IB   HDFC                        Ref 111108564336"</f>
        <v>IB   HDFC                        Ref 111108564336</v>
      </c>
      <c r="D62" t="str">
        <f>"IMPS-111108564185"</f>
        <v>IMPS-111108564185</v>
      </c>
      <c r="E62" s="2">
        <v>44307</v>
      </c>
      <c r="F62" s="4">
        <v>7000</v>
      </c>
      <c r="H62" s="3">
        <v>891750.47</v>
      </c>
      <c r="I62" t="s">
        <v>30</v>
      </c>
    </row>
    <row r="63" spans="1:9" x14ac:dyDescent="0.25">
      <c r="A63">
        <v>2</v>
      </c>
      <c r="B63" s="1">
        <v>44307.496157407404</v>
      </c>
      <c r="C63" t="str">
        <f>"NEFT FBBT211118557465 AL FAS LAMINATIONS PRIVATE"</f>
        <v>NEFT FBBT211118557465 AL FAS LAMINATIONS PRIVATE</v>
      </c>
      <c r="D63" t="str">
        <f>"NEFTINW-0284636408"</f>
        <v>NEFTINW-0284636408</v>
      </c>
      <c r="E63" s="2">
        <v>44307</v>
      </c>
      <c r="G63" s="3">
        <v>103356.2</v>
      </c>
      <c r="H63" s="3">
        <v>995106.67</v>
      </c>
      <c r="I63" t="s">
        <v>30</v>
      </c>
    </row>
    <row r="64" spans="1:9" x14ac:dyDescent="0.25">
      <c r="A64">
        <v>3</v>
      </c>
      <c r="B64" s="1">
        <v>44307.68273148148</v>
      </c>
      <c r="C64" t="str">
        <f>"IB   BLUEOCEAN                   Ref 111116035598"</f>
        <v>IB   BLUEOCEAN                   Ref 111116035598</v>
      </c>
      <c r="D64" t="str">
        <f>"IMPS-111116035599"</f>
        <v>IMPS-111116035599</v>
      </c>
      <c r="E64" s="2">
        <v>44307</v>
      </c>
      <c r="F64" s="3">
        <v>168970</v>
      </c>
      <c r="H64" s="3">
        <v>826136.67</v>
      </c>
      <c r="I64" t="s">
        <v>30</v>
      </c>
    </row>
    <row r="65" spans="1:9" x14ac:dyDescent="0.25">
      <c r="A65">
        <v>4</v>
      </c>
      <c r="B65" s="1">
        <v>44307.788900462961</v>
      </c>
      <c r="C65" t="str">
        <f>"NEFT 000338377452 SWIFT CARGO PRIVATE LIMITED IND"</f>
        <v>NEFT 000338377452 SWIFT CARGO PRIVATE LIMITED IND</v>
      </c>
      <c r="D65" t="str">
        <f>"NEFTINW-0284726875"</f>
        <v>NEFTINW-0284726875</v>
      </c>
      <c r="E65" s="2">
        <v>44307</v>
      </c>
      <c r="G65" s="3">
        <v>142488</v>
      </c>
      <c r="H65" s="3">
        <v>968624.67</v>
      </c>
      <c r="I65" t="s">
        <v>30</v>
      </c>
    </row>
    <row r="66" spans="1:9" x14ac:dyDescent="0.25">
      <c r="A66">
        <v>5</v>
      </c>
      <c r="B66" s="1">
        <v>44307.80945601852</v>
      </c>
      <c r="C66" t="str">
        <f>"NEFT FBBT211118566846 CUBES INTERNATIONAL LOGISTI"</f>
        <v>NEFT FBBT211118566846 CUBES INTERNATIONAL LOGISTI</v>
      </c>
      <c r="D66" t="str">
        <f>"NEFTINW-0284736697"</f>
        <v>NEFTINW-0284736697</v>
      </c>
      <c r="E66" s="2">
        <v>44307</v>
      </c>
      <c r="G66" s="3">
        <v>148793</v>
      </c>
      <c r="H66" s="3">
        <v>1117417.67</v>
      </c>
      <c r="I66" t="s">
        <v>30</v>
      </c>
    </row>
    <row r="67" spans="1:9" x14ac:dyDescent="0.25">
      <c r="A67">
        <v>6</v>
      </c>
      <c r="B67" s="1">
        <v>44308.392928240741</v>
      </c>
      <c r="C67" t="str">
        <f>"IB   HDFC                        Ref 111209511948"</f>
        <v>IB   HDFC                        Ref 111209511948</v>
      </c>
      <c r="D67" t="str">
        <f>"IMPS-111209511949"</f>
        <v>IMPS-111209511949</v>
      </c>
      <c r="E67" s="2">
        <v>44308</v>
      </c>
      <c r="F67" s="4">
        <v>170000</v>
      </c>
      <c r="H67" s="3">
        <v>947417.67</v>
      </c>
      <c r="I67" t="s">
        <v>30</v>
      </c>
    </row>
    <row r="68" spans="1:9" x14ac:dyDescent="0.25">
      <c r="A68">
        <v>2</v>
      </c>
      <c r="B68" s="1">
        <v>44308.605798611112</v>
      </c>
      <c r="C68" t="str">
        <f>"NEFT SIBLN21112061209 MOHAMMEDANS TIMBER CORPORAT"</f>
        <v>NEFT SIBLN21112061209 MOHAMMEDANS TIMBER CORPORAT</v>
      </c>
      <c r="D68" t="str">
        <f>"NEFTINW-0284858371"</f>
        <v>NEFTINW-0284858371</v>
      </c>
      <c r="E68" s="2">
        <v>44308</v>
      </c>
      <c r="G68" s="3">
        <v>44810</v>
      </c>
      <c r="H68" s="3">
        <v>992227.67</v>
      </c>
      <c r="I68" t="s">
        <v>30</v>
      </c>
    </row>
    <row r="69" spans="1:9" x14ac:dyDescent="0.25">
      <c r="A69">
        <v>3</v>
      </c>
      <c r="B69" s="1">
        <v>44308.635787037034</v>
      </c>
      <c r="C69" t="str">
        <f>"IB   BHAVANI                     Ref 111215903558"</f>
        <v>IB   BHAVANI                     Ref 111215903558</v>
      </c>
      <c r="D69" t="str">
        <f>"IMPS-111215903862"</f>
        <v>IMPS-111215903862</v>
      </c>
      <c r="E69" s="2">
        <v>44308</v>
      </c>
      <c r="F69" s="3">
        <v>6551</v>
      </c>
      <c r="H69" s="3">
        <v>985676.67</v>
      </c>
      <c r="I69" t="s">
        <v>30</v>
      </c>
    </row>
    <row r="70" spans="1:9" x14ac:dyDescent="0.25">
      <c r="A70">
        <v>4</v>
      </c>
      <c r="B70" s="1">
        <v>44308.63658564815</v>
      </c>
      <c r="C70" t="str">
        <f>"IB   TLPL                        Ref 111215904924"</f>
        <v>IB   TLPL                        Ref 111215904924</v>
      </c>
      <c r="D70" t="str">
        <f>"IMPS-111215904925"</f>
        <v>IMPS-111215904925</v>
      </c>
      <c r="E70" s="2">
        <v>44308</v>
      </c>
      <c r="F70" s="3">
        <v>14486</v>
      </c>
      <c r="H70" s="3">
        <v>971190.67</v>
      </c>
      <c r="I70" t="s">
        <v>30</v>
      </c>
    </row>
    <row r="71" spans="1:9" x14ac:dyDescent="0.25">
      <c r="A71">
        <v>5</v>
      </c>
      <c r="B71" s="1">
        <v>44308.708865740744</v>
      </c>
      <c r="C71" t="str">
        <f>"NEFT SIBLN21112080741 PANKAJ CHEMICALS SIBL000011"</f>
        <v>NEFT SIBLN21112080741 PANKAJ CHEMICALS SIBL000011</v>
      </c>
      <c r="D71" t="str">
        <f>"NEFTINW-0284915825"</f>
        <v>NEFTINW-0284915825</v>
      </c>
      <c r="E71" s="2">
        <v>44308</v>
      </c>
      <c r="G71" s="3">
        <v>26922</v>
      </c>
      <c r="H71" s="3">
        <v>998112.67</v>
      </c>
      <c r="I71" t="s">
        <v>30</v>
      </c>
    </row>
    <row r="72" spans="1:9" x14ac:dyDescent="0.25">
      <c r="A72">
        <v>6</v>
      </c>
      <c r="B72" s="1">
        <v>44308.774525462963</v>
      </c>
      <c r="C72" t="str">
        <f>"NEFT SIN15100Q0008037 M S WORLD ZONE LOGIS SCBL00"</f>
        <v>NEFT SIN15100Q0008037 M S WORLD ZONE LOGIS SCBL00</v>
      </c>
      <c r="D72" t="str">
        <f>"NEFTINW-0284960061"</f>
        <v>NEFTINW-0284960061</v>
      </c>
      <c r="E72" s="2">
        <v>44308</v>
      </c>
      <c r="G72" s="3">
        <v>87598</v>
      </c>
      <c r="H72" s="3">
        <v>1085710.67</v>
      </c>
      <c r="I72" t="s">
        <v>30</v>
      </c>
    </row>
    <row r="73" spans="1:9" x14ac:dyDescent="0.25">
      <c r="A73">
        <v>7</v>
      </c>
      <c r="B73" s="1">
        <v>44309.315601851849</v>
      </c>
      <c r="C73" t="str">
        <f>"IB   HDFC                        Ref 111307446981"</f>
        <v>IB   HDFC                        Ref 111307446981</v>
      </c>
      <c r="D73" t="str">
        <f>"IMPS-111307447109"</f>
        <v>IMPS-111307447109</v>
      </c>
      <c r="E73" s="2">
        <v>44309</v>
      </c>
      <c r="F73" s="4">
        <v>25000</v>
      </c>
      <c r="H73" s="3">
        <v>1060710.67</v>
      </c>
      <c r="I73" t="s">
        <v>30</v>
      </c>
    </row>
    <row r="74" spans="1:9" x14ac:dyDescent="0.25">
      <c r="A74">
        <v>2</v>
      </c>
      <c r="B74" s="1">
        <v>44309.638854166667</v>
      </c>
      <c r="C74" t="str">
        <f>"IB:VASCO SOA"</f>
        <v>IB:VASCO SOA</v>
      </c>
      <c r="D74" t="str">
        <f>"000211357425"</f>
        <v>000211357425</v>
      </c>
      <c r="E74" s="2">
        <v>44309</v>
      </c>
      <c r="F74" s="3">
        <v>363815</v>
      </c>
      <c r="H74" s="3">
        <v>696895.67</v>
      </c>
      <c r="I74" t="s">
        <v>30</v>
      </c>
    </row>
    <row r="75" spans="1:9" x14ac:dyDescent="0.25">
      <c r="A75">
        <v>3</v>
      </c>
      <c r="B75" s="1">
        <v>44309.702025462961</v>
      </c>
      <c r="C75" t="str">
        <f>"NEFT SIN01733Q0306614 FREIGHT SYSTEMS IND SCBL00"</f>
        <v>NEFT SIN01733Q0306614 FREIGHT SYSTEMS IND SCBL00</v>
      </c>
      <c r="D75" t="str">
        <f>"NEFTINW-0285171275"</f>
        <v>NEFTINW-0285171275</v>
      </c>
      <c r="E75" s="2">
        <v>44309</v>
      </c>
      <c r="G75" s="3">
        <v>78840.2</v>
      </c>
      <c r="H75" s="3">
        <v>775735.87</v>
      </c>
      <c r="I75" t="s">
        <v>30</v>
      </c>
    </row>
    <row r="76" spans="1:9" x14ac:dyDescent="0.25">
      <c r="A76">
        <v>4</v>
      </c>
      <c r="B76" s="1">
        <v>44309.842245370368</v>
      </c>
      <c r="C76" t="str">
        <f>"NEFT FBBT211138693817 CUBES INTERNATIONAL LOGISTI"</f>
        <v>NEFT FBBT211138693817 CUBES INTERNATIONAL LOGISTI</v>
      </c>
      <c r="D76" t="str">
        <f>"NEFTINW-0285236199"</f>
        <v>NEFTINW-0285236199</v>
      </c>
      <c r="E76" s="2">
        <v>44309</v>
      </c>
      <c r="G76" s="3">
        <v>145251</v>
      </c>
      <c r="H76" s="3">
        <v>920986.87</v>
      </c>
      <c r="I76" t="s">
        <v>30</v>
      </c>
    </row>
    <row r="77" spans="1:9" x14ac:dyDescent="0.25">
      <c r="A77">
        <v>5</v>
      </c>
      <c r="B77" s="1">
        <v>44309.911400462966</v>
      </c>
      <c r="C77" t="str">
        <f>"NEFT FDRLH21113494208 DGS LOGISTICS AND SHIPPING"</f>
        <v>NEFT FDRLH21113494208 DGS LOGISTICS AND SHIPPING</v>
      </c>
      <c r="D77" t="str">
        <f>"NEFTINW-0285245252"</f>
        <v>NEFTINW-0285245252</v>
      </c>
      <c r="E77" s="2">
        <v>44309</v>
      </c>
      <c r="G77" s="3">
        <v>100000</v>
      </c>
      <c r="H77" s="3">
        <v>1020986.87</v>
      </c>
      <c r="I77" t="s">
        <v>30</v>
      </c>
    </row>
    <row r="78" spans="1:9" x14ac:dyDescent="0.25">
      <c r="A78">
        <v>6</v>
      </c>
      <c r="B78" s="1">
        <v>44312.747453703705</v>
      </c>
      <c r="C78" t="str">
        <f>"NEFT AXIC211163924381 OCEANAIR LOGISTICS UTIB0004"</f>
        <v>NEFT AXIC211163924381 OCEANAIR LOGISTICS UTIB0004</v>
      </c>
      <c r="D78" t="str">
        <f>"NEFTINW-0285559744"</f>
        <v>NEFTINW-0285559744</v>
      </c>
      <c r="E78" s="2">
        <v>44312</v>
      </c>
      <c r="G78" s="3">
        <v>103928.5</v>
      </c>
      <c r="H78" s="3">
        <v>1124915.3700000001</v>
      </c>
      <c r="I78" t="s">
        <v>30</v>
      </c>
    </row>
    <row r="79" spans="1:9" x14ac:dyDescent="0.25">
      <c r="A79">
        <v>7</v>
      </c>
      <c r="B79" s="1">
        <v>44312.867256944446</v>
      </c>
      <c r="C79" t="str">
        <f>"NEFT FBBT211168717562 CUBES INTERNATIONAL LOGISTI"</f>
        <v>NEFT FBBT211168717562 CUBES INTERNATIONAL LOGISTI</v>
      </c>
      <c r="D79" t="str">
        <f>"NEFTINW-0285606458"</f>
        <v>NEFTINW-0285606458</v>
      </c>
      <c r="E79" s="2">
        <v>44312</v>
      </c>
      <c r="G79" s="3">
        <v>150000</v>
      </c>
      <c r="H79" s="3">
        <v>1274915.3700000001</v>
      </c>
      <c r="I79" t="s">
        <v>30</v>
      </c>
    </row>
    <row r="80" spans="1:9" x14ac:dyDescent="0.25">
      <c r="A80">
        <v>3</v>
      </c>
      <c r="B80" s="1">
        <v>44313.598877314813</v>
      </c>
      <c r="C80" t="str">
        <f>"NEFT FB25L2111707696 SAFERA FOOD INT FDRL0000037"</f>
        <v>NEFT FB25L2111707696 SAFERA FOOD INT FDRL0000037</v>
      </c>
      <c r="D80" t="str">
        <f>"NEFTINW-0285717232"</f>
        <v>NEFTINW-0285717232</v>
      </c>
      <c r="E80" s="2">
        <v>44313</v>
      </c>
      <c r="G80" s="3">
        <v>856157</v>
      </c>
      <c r="H80" s="3">
        <v>2131072.37</v>
      </c>
      <c r="I80" t="s">
        <v>30</v>
      </c>
    </row>
    <row r="81" spans="1:9" x14ac:dyDescent="0.25">
      <c r="A81">
        <v>4</v>
      </c>
      <c r="B81" s="1">
        <v>44313.669456018521</v>
      </c>
      <c r="C81" t="str">
        <f>"1048"</f>
        <v>1048</v>
      </c>
      <c r="D81" t="str">
        <f>"IB"</f>
        <v>IB</v>
      </c>
      <c r="E81" s="2">
        <v>44313</v>
      </c>
      <c r="F81" s="4">
        <v>500000</v>
      </c>
      <c r="H81" s="3">
        <v>1631072.37</v>
      </c>
      <c r="I81" t="s">
        <v>30</v>
      </c>
    </row>
    <row r="82" spans="1:9" x14ac:dyDescent="0.25">
      <c r="A82">
        <v>5</v>
      </c>
      <c r="B82" s="1">
        <v>44313.727349537039</v>
      </c>
      <c r="C82" t="str">
        <f>"NEFT 000339516981 SWIFT CARGO PRIVATE LIMITED IND"</f>
        <v>NEFT 000339516981 SWIFT CARGO PRIVATE LIMITED IND</v>
      </c>
      <c r="D82" t="str">
        <f>"NEFTINW-0285781478"</f>
        <v>NEFTINW-0285781478</v>
      </c>
      <c r="E82" s="2">
        <v>44313</v>
      </c>
      <c r="G82" s="3">
        <v>143081</v>
      </c>
      <c r="H82" s="3">
        <v>1774153.37</v>
      </c>
      <c r="I82" t="s">
        <v>30</v>
      </c>
    </row>
    <row r="83" spans="1:9" x14ac:dyDescent="0.25">
      <c r="A83">
        <v>4</v>
      </c>
      <c r="B83" s="1">
        <v>44314.371469907404</v>
      </c>
      <c r="C83" t="str">
        <f>"MB HDFC                          Ref 111808928537"</f>
        <v>MB HDFC                          Ref 111808928537</v>
      </c>
      <c r="D83" t="str">
        <f>"IMPS-111808928618"</f>
        <v>IMPS-111808928618</v>
      </c>
      <c r="E83" s="2">
        <v>44314</v>
      </c>
      <c r="F83" s="4">
        <v>42000</v>
      </c>
      <c r="H83" s="3">
        <v>1732153.37</v>
      </c>
      <c r="I83" t="s">
        <v>30</v>
      </c>
    </row>
    <row r="84" spans="1:9" x14ac:dyDescent="0.25">
      <c r="A84">
        <v>5</v>
      </c>
      <c r="B84" s="1">
        <v>44314.446099537039</v>
      </c>
      <c r="C84" t="str">
        <f>"SHIPMENT SOLUTIONSPRIVATE LTD"</f>
        <v>SHIPMENT SOLUTIONSPRIVATE LTD</v>
      </c>
      <c r="D84" t="str">
        <f>"148"</f>
        <v>148</v>
      </c>
      <c r="E84" s="2">
        <v>44314</v>
      </c>
      <c r="F84" s="3">
        <v>356157</v>
      </c>
      <c r="H84" s="3">
        <v>1375996.37</v>
      </c>
      <c r="I84" t="s">
        <v>30</v>
      </c>
    </row>
    <row r="85" spans="1:9" x14ac:dyDescent="0.25">
      <c r="A85">
        <v>6</v>
      </c>
      <c r="B85" s="1">
        <v>44314.586446759262</v>
      </c>
      <c r="C85" t="str">
        <f>"BY CLG INST 854968/26-04-21/IOB/KOCHI"</f>
        <v>BY CLG INST 854968/26-04-21/IOB/KOCHI</v>
      </c>
      <c r="D85" t="str">
        <f>""</f>
        <v/>
      </c>
      <c r="E85" s="2">
        <v>44314</v>
      </c>
      <c r="G85" s="3">
        <v>358021</v>
      </c>
      <c r="H85" s="3">
        <v>1734017.37</v>
      </c>
      <c r="I85" t="s">
        <v>30</v>
      </c>
    </row>
    <row r="86" spans="1:9" x14ac:dyDescent="0.25">
      <c r="A86">
        <v>7</v>
      </c>
      <c r="B86" s="1">
        <v>44314.586446759262</v>
      </c>
      <c r="C86" t="str">
        <f>"BY CLG INST 4952/13-04-21/BOB/KOCHI"</f>
        <v>BY CLG INST 4952/13-04-21/BOB/KOCHI</v>
      </c>
      <c r="D86" t="str">
        <f>""</f>
        <v/>
      </c>
      <c r="E86" s="2">
        <v>44314</v>
      </c>
      <c r="G86" s="3">
        <v>82560</v>
      </c>
      <c r="H86" s="3">
        <v>1816577.37</v>
      </c>
      <c r="I86" t="s">
        <v>30</v>
      </c>
    </row>
    <row r="87" spans="1:9" x14ac:dyDescent="0.25">
      <c r="A87">
        <v>8</v>
      </c>
      <c r="B87" s="1">
        <v>44314.736342592594</v>
      </c>
      <c r="C87" t="str">
        <f>"RTGS ICICR42021042800525956 SUNSTAR MARKETING C"</f>
        <v>RTGS ICICR42021042800525956 SUNSTAR MARKETING C</v>
      </c>
      <c r="D87" t="str">
        <f>"RTGSINW-0038579879"</f>
        <v>RTGSINW-0038579879</v>
      </c>
      <c r="E87" s="2">
        <v>44314</v>
      </c>
      <c r="G87" s="3">
        <v>299593.81</v>
      </c>
      <c r="H87" s="3">
        <v>2116171.1800000002</v>
      </c>
      <c r="I87" t="s">
        <v>30</v>
      </c>
    </row>
    <row r="88" spans="1:9" x14ac:dyDescent="0.25">
      <c r="A88">
        <v>9</v>
      </c>
      <c r="B88" s="1">
        <v>44315.375844907408</v>
      </c>
      <c r="C88" t="str">
        <f>"IB   HDFC                        Ref 111909838098"</f>
        <v>IB   HDFC                        Ref 111909838098</v>
      </c>
      <c r="D88" t="str">
        <f>"IMPS-111909838099"</f>
        <v>IMPS-111909838099</v>
      </c>
      <c r="E88" s="2">
        <v>44315</v>
      </c>
      <c r="F88" s="4">
        <v>5000</v>
      </c>
      <c r="H88" s="3">
        <v>2111171.1800000002</v>
      </c>
      <c r="I88" t="s">
        <v>30</v>
      </c>
    </row>
    <row r="89" spans="1:9" x14ac:dyDescent="0.25">
      <c r="A89">
        <v>2</v>
      </c>
      <c r="B89" s="1">
        <v>44315.535601851851</v>
      </c>
      <c r="C89" t="str">
        <f>"NEFT N119211487846893 TLPL INTEGRATED SHIPPING SE"</f>
        <v>NEFT N119211487846893 TLPL INTEGRATED SHIPPING SE</v>
      </c>
      <c r="D89" t="str">
        <f>"NEFTINW-0286180209"</f>
        <v>NEFTINW-0286180209</v>
      </c>
      <c r="E89" s="2">
        <v>44315</v>
      </c>
      <c r="G89" s="3">
        <v>50000</v>
      </c>
      <c r="H89" s="3">
        <v>2161171.1800000002</v>
      </c>
      <c r="I89" t="s">
        <v>30</v>
      </c>
    </row>
    <row r="90" spans="1:9" x14ac:dyDescent="0.25">
      <c r="A90">
        <v>3</v>
      </c>
      <c r="B90" s="1">
        <v>44315.648043981484</v>
      </c>
      <c r="C90" t="str">
        <f>"NEFT FBBT211198746410 CUBES INTERNATIONAL LOGISTI"</f>
        <v>NEFT FBBT211198746410 CUBES INTERNATIONAL LOGISTI</v>
      </c>
      <c r="D90" t="str">
        <f>"NEFTINW-0286244103"</f>
        <v>NEFTINW-0286244103</v>
      </c>
      <c r="E90" s="2">
        <v>44315</v>
      </c>
      <c r="G90" s="3">
        <v>85138</v>
      </c>
      <c r="H90" s="3">
        <v>2246309.1800000002</v>
      </c>
      <c r="I90" t="s">
        <v>30</v>
      </c>
    </row>
    <row r="91" spans="1:9" x14ac:dyDescent="0.25">
      <c r="A91">
        <v>4</v>
      </c>
      <c r="B91" s="1">
        <v>44315.707361111112</v>
      </c>
      <c r="C91" t="str">
        <f>"NEFT N119211488190027 K L ABDUL SATHAR HDFC000639"</f>
        <v>NEFT N119211488190027 K L ABDUL SATHAR HDFC000639</v>
      </c>
      <c r="D91" t="str">
        <f>"NEFTINW-0286277772"</f>
        <v>NEFTINW-0286277772</v>
      </c>
      <c r="E91" s="2">
        <v>44315</v>
      </c>
      <c r="G91" s="3">
        <v>64245</v>
      </c>
      <c r="H91" s="3">
        <v>2310554.1800000002</v>
      </c>
      <c r="I91" t="s">
        <v>30</v>
      </c>
    </row>
    <row r="92" spans="1:9" x14ac:dyDescent="0.25">
      <c r="A92">
        <v>5</v>
      </c>
      <c r="B92" s="1">
        <v>44315.776134259257</v>
      </c>
      <c r="C92" t="str">
        <f>"NEFT IOBAN21119271400 FRETE LOGISTICS INTERNATION"</f>
        <v>NEFT IOBAN21119271400 FRETE LOGISTICS INTERNATION</v>
      </c>
      <c r="D92" t="str">
        <f>"NEFTINW-0286316810"</f>
        <v>NEFTINW-0286316810</v>
      </c>
      <c r="E92" s="2">
        <v>44315</v>
      </c>
      <c r="G92" s="3">
        <v>11120</v>
      </c>
      <c r="H92" s="3">
        <v>2321674.1800000002</v>
      </c>
      <c r="I92" t="s">
        <v>30</v>
      </c>
    </row>
    <row r="93" spans="1:9" x14ac:dyDescent="0.25">
      <c r="A93">
        <v>6</v>
      </c>
      <c r="B93" s="1">
        <v>44316.378229166665</v>
      </c>
      <c r="C93" t="str">
        <f>"MB TO BOB 23                     Ref 112009789375"</f>
        <v>MB TO BOB 23                     Ref 112009789375</v>
      </c>
      <c r="D93" t="str">
        <f>"IMPS-112009789528"</f>
        <v>IMPS-112009789528</v>
      </c>
      <c r="E93" s="2">
        <v>44316</v>
      </c>
      <c r="F93" s="4">
        <v>25000</v>
      </c>
      <c r="H93" s="3">
        <v>2296674.1800000002</v>
      </c>
      <c r="I93" t="s">
        <v>30</v>
      </c>
    </row>
    <row r="94" spans="1:9" x14ac:dyDescent="0.25">
      <c r="A94">
        <v>7</v>
      </c>
      <c r="B94" s="1">
        <v>44316.545810185184</v>
      </c>
      <c r="C94" t="str">
        <f>"Y/S FOR SALARY TR FEB2021"</f>
        <v>Y/S FOR SALARY TR FEB2021</v>
      </c>
      <c r="D94" t="str">
        <f>"149"</f>
        <v>149</v>
      </c>
      <c r="E94" s="2">
        <v>44316</v>
      </c>
      <c r="F94" s="3">
        <v>83684</v>
      </c>
      <c r="H94" s="3">
        <v>2212990.1800000002</v>
      </c>
      <c r="I94" t="s">
        <v>30</v>
      </c>
    </row>
    <row r="95" spans="1:9" x14ac:dyDescent="0.25">
      <c r="A95">
        <v>8</v>
      </c>
      <c r="B95" s="1">
        <v>44316.567048611112</v>
      </c>
      <c r="C95" t="str">
        <f>"Sent RTGS KKBKR52021043000747977/GOODRICH MAR"</f>
        <v>Sent RTGS KKBKR52021043000747977/GOODRICH MAR</v>
      </c>
      <c r="D95" t="str">
        <f>"152"</f>
        <v>152</v>
      </c>
      <c r="E95" s="2">
        <v>44316</v>
      </c>
      <c r="F95" s="3">
        <v>995164</v>
      </c>
      <c r="H95" s="3">
        <v>1217826.18</v>
      </c>
      <c r="I95" t="s">
        <v>30</v>
      </c>
    </row>
    <row r="96" spans="1:9" x14ac:dyDescent="0.25">
      <c r="A96">
        <v>9</v>
      </c>
      <c r="B96" s="1">
        <v>44316.587083333332</v>
      </c>
      <c r="C96" t="str">
        <f>"Sent RTGS KKBKR52021043000756706/GOODRICH MAR"</f>
        <v>Sent RTGS KKBKR52021043000756706/GOODRICH MAR</v>
      </c>
      <c r="D96" t="str">
        <f>"151"</f>
        <v>151</v>
      </c>
      <c r="E96" s="2">
        <v>44316</v>
      </c>
      <c r="F96" s="3">
        <v>1000000</v>
      </c>
      <c r="H96" s="3">
        <v>217826.18</v>
      </c>
      <c r="I96" t="s">
        <v>30</v>
      </c>
    </row>
    <row r="97" spans="1:9" x14ac:dyDescent="0.25">
      <c r="A97">
        <v>10</v>
      </c>
      <c r="B97" s="1">
        <v>44316.628229166665</v>
      </c>
      <c r="C97" t="str">
        <f>"NEFT FBBT211208759024 CUBES INTERNATIONAL LOGISTI"</f>
        <v>NEFT FBBT211208759024 CUBES INTERNATIONAL LOGISTI</v>
      </c>
      <c r="D97" t="str">
        <f>"NEFTINW-0286591791"</f>
        <v>NEFTINW-0286591791</v>
      </c>
      <c r="E97" s="2">
        <v>44316</v>
      </c>
      <c r="G97" s="3">
        <v>50000</v>
      </c>
      <c r="H97" s="3">
        <v>267826.18</v>
      </c>
      <c r="I97" t="s">
        <v>30</v>
      </c>
    </row>
    <row r="98" spans="1:9" x14ac:dyDescent="0.25">
      <c r="A98">
        <v>11</v>
      </c>
      <c r="B98" s="1">
        <v>44316.75267361111</v>
      </c>
      <c r="C98" t="str">
        <f>"IB   TO BOB 23                   Ref 112018492650"</f>
        <v>IB   TO BOB 23                   Ref 112018492650</v>
      </c>
      <c r="D98" t="str">
        <f>"IMPS-112018492729"</f>
        <v>IMPS-112018492729</v>
      </c>
      <c r="E98" s="2">
        <v>44316</v>
      </c>
      <c r="F98" s="4">
        <v>60000</v>
      </c>
      <c r="H98" s="3">
        <v>207826.18</v>
      </c>
      <c r="I98" t="s">
        <v>30</v>
      </c>
    </row>
    <row r="99" spans="1:9" x14ac:dyDescent="0.25">
      <c r="A99">
        <v>12</v>
      </c>
      <c r="B99" s="1">
        <v>44316.794965277775</v>
      </c>
      <c r="C99" t="str">
        <f>"MB:HARI REPAID"</f>
        <v>MB:HARI REPAID</v>
      </c>
      <c r="D99" t="str">
        <f>"MB-999276666105"</f>
        <v>MB-999276666105</v>
      </c>
      <c r="E99" s="2">
        <v>44316</v>
      </c>
      <c r="F99" s="4">
        <v>30960</v>
      </c>
      <c r="H99" s="3">
        <v>176866.18</v>
      </c>
      <c r="I99" t="s">
        <v>30</v>
      </c>
    </row>
    <row r="100" spans="1:9" x14ac:dyDescent="0.25">
      <c r="A100">
        <v>13</v>
      </c>
      <c r="B100" s="1">
        <v>44317.538738425923</v>
      </c>
      <c r="C100" t="str">
        <f>"BY CLG INST 4960/16-04-21/BOB/KOCHI"</f>
        <v>BY CLG INST 4960/16-04-21/BOB/KOCHI</v>
      </c>
      <c r="D100" t="str">
        <f>""</f>
        <v/>
      </c>
      <c r="E100" s="2">
        <v>44317</v>
      </c>
      <c r="G100" s="3">
        <v>239063</v>
      </c>
      <c r="H100" s="3">
        <v>415929.18</v>
      </c>
      <c r="I100" t="s">
        <v>30</v>
      </c>
    </row>
    <row r="101" spans="1:9" x14ac:dyDescent="0.25">
      <c r="A101">
        <v>14</v>
      </c>
      <c r="B101" s="1">
        <v>44317.800405092596</v>
      </c>
      <c r="C101" t="str">
        <f>"MB SD REFUND                     Ref 112119826180"</f>
        <v>MB SD REFUND                     Ref 112119826180</v>
      </c>
      <c r="D101" t="str">
        <f>"IMPS-112119826202"</f>
        <v>IMPS-112119826202</v>
      </c>
      <c r="E101" s="2">
        <v>44317</v>
      </c>
      <c r="F101" s="3">
        <v>50000</v>
      </c>
      <c r="H101" s="3">
        <v>365929.18</v>
      </c>
      <c r="I101" t="s">
        <v>30</v>
      </c>
    </row>
    <row r="102" spans="1:9" x14ac:dyDescent="0.25">
      <c r="A102">
        <v>15</v>
      </c>
      <c r="B102" s="1">
        <v>44318.401342592595</v>
      </c>
      <c r="C102" t="str">
        <f>"MB ASWIN STIPEND                 Ref 112209263783"</f>
        <v>MB ASWIN STIPEND                 Ref 112209263783</v>
      </c>
      <c r="D102" t="str">
        <f>"IMPS-112209263785"</f>
        <v>IMPS-112209263785</v>
      </c>
      <c r="E102" s="2">
        <v>44318</v>
      </c>
      <c r="F102" s="4">
        <v>10000</v>
      </c>
      <c r="H102" s="3">
        <v>355929.18</v>
      </c>
      <c r="I102" t="s">
        <v>30</v>
      </c>
    </row>
    <row r="103" spans="1:9" x14ac:dyDescent="0.25">
      <c r="A103">
        <v>16</v>
      </c>
      <c r="B103" s="1">
        <v>44318.401747685188</v>
      </c>
      <c r="C103" t="str">
        <f>"MB NIMAL STIPEND                 Ref 112209264307"</f>
        <v>MB NIMAL STIPEND                 Ref 112209264307</v>
      </c>
      <c r="D103" t="str">
        <f>"IMPS-112209264308"</f>
        <v>IMPS-112209264308</v>
      </c>
      <c r="E103" s="2">
        <v>44318</v>
      </c>
      <c r="F103" s="4">
        <v>10000</v>
      </c>
      <c r="H103" s="3">
        <v>345929.18</v>
      </c>
      <c r="I103" t="s">
        <v>30</v>
      </c>
    </row>
    <row r="104" spans="1:9" x14ac:dyDescent="0.25">
      <c r="A104">
        <v>17</v>
      </c>
      <c r="B104" s="1">
        <v>44318.40425925926</v>
      </c>
      <c r="C104" t="str">
        <f>"MB:CAROL CONV"</f>
        <v>MB:CAROL CONV</v>
      </c>
      <c r="D104" t="str">
        <f>"MB-999276032133"</f>
        <v>MB-999276032133</v>
      </c>
      <c r="E104" s="2">
        <v>44318</v>
      </c>
      <c r="F104" s="4">
        <v>2500</v>
      </c>
      <c r="H104" s="3">
        <v>343429.18</v>
      </c>
      <c r="I104" t="s">
        <v>30</v>
      </c>
    </row>
    <row r="105" spans="1:9" x14ac:dyDescent="0.25">
      <c r="A105">
        <v>18</v>
      </c>
      <c r="B105" s="1">
        <v>44319.372395833336</v>
      </c>
      <c r="C105" t="str">
        <f>"IB   HDFC                        Ref 112308100098"</f>
        <v>IB   HDFC                        Ref 112308100098</v>
      </c>
      <c r="D105" t="str">
        <f>"IMPS-112308100099"</f>
        <v>IMPS-112308100099</v>
      </c>
      <c r="E105" s="2">
        <v>44319</v>
      </c>
      <c r="F105" s="4">
        <v>10000</v>
      </c>
      <c r="H105" s="3">
        <v>333429.18</v>
      </c>
      <c r="I105" t="s">
        <v>30</v>
      </c>
    </row>
    <row r="106" spans="1:9" x14ac:dyDescent="0.25">
      <c r="A106">
        <v>2</v>
      </c>
      <c r="B106" s="1">
        <v>44319.387453703705</v>
      </c>
      <c r="C106" t="str">
        <f>"NEFT FDRLH21123281653 SANCHARY AQUATIC PROTEINS L"</f>
        <v>NEFT FDRLH21123281653 SANCHARY AQUATIC PROTEINS L</v>
      </c>
      <c r="D106" t="str">
        <f>"NEFTINW-0287070090"</f>
        <v>NEFTINW-0287070090</v>
      </c>
      <c r="E106" s="2">
        <v>44319</v>
      </c>
      <c r="G106" s="3">
        <v>87237</v>
      </c>
      <c r="H106" s="3">
        <v>420666.18</v>
      </c>
      <c r="I106" t="s">
        <v>30</v>
      </c>
    </row>
    <row r="107" spans="1:9" x14ac:dyDescent="0.25">
      <c r="A107">
        <v>6</v>
      </c>
      <c r="B107" s="1">
        <v>44320.354085648149</v>
      </c>
      <c r="C107" t="str">
        <f>"MB HDFC                          Ref 112408227799"</f>
        <v>MB HDFC                          Ref 112408227799</v>
      </c>
      <c r="D107" t="str">
        <f>"IMPS-112408227800"</f>
        <v>IMPS-112408227800</v>
      </c>
      <c r="E107" s="2">
        <v>44320</v>
      </c>
      <c r="F107" s="4">
        <v>8000</v>
      </c>
      <c r="H107" s="3">
        <v>412666.18</v>
      </c>
      <c r="I107" t="s">
        <v>30</v>
      </c>
    </row>
    <row r="108" spans="1:9" x14ac:dyDescent="0.25">
      <c r="A108">
        <v>7</v>
      </c>
      <c r="B108" s="1">
        <v>44320.618946759256</v>
      </c>
      <c r="C108" t="str">
        <f>"IB   RENT GANDHI                 Ref 112414711872"</f>
        <v>IB   RENT GANDHI                 Ref 112414711872</v>
      </c>
      <c r="D108" t="str">
        <f>"IMPS-112414711948"</f>
        <v>IMPS-112414711948</v>
      </c>
      <c r="E108" s="2">
        <v>44320</v>
      </c>
      <c r="F108" s="4">
        <v>6500</v>
      </c>
      <c r="H108" s="3">
        <v>406166.18</v>
      </c>
      <c r="I108" t="s">
        <v>30</v>
      </c>
    </row>
    <row r="109" spans="1:9" x14ac:dyDescent="0.25">
      <c r="A109">
        <v>8</v>
      </c>
      <c r="B109" s="1">
        <v>44320.662488425929</v>
      </c>
      <c r="C109" t="str">
        <f>"NEFT FBBT211248815653 CUBES INTERNATIONAL LOGISTI"</f>
        <v>NEFT FBBT211248815653 CUBES INTERNATIONAL LOGISTI</v>
      </c>
      <c r="D109" t="str">
        <f>"NEFTINW-0287488839"</f>
        <v>NEFTINW-0287488839</v>
      </c>
      <c r="E109" s="2">
        <v>44320</v>
      </c>
      <c r="G109" s="3">
        <v>91360</v>
      </c>
      <c r="H109" s="3">
        <v>497526.18</v>
      </c>
      <c r="I109" t="s">
        <v>30</v>
      </c>
    </row>
    <row r="110" spans="1:9" x14ac:dyDescent="0.25">
      <c r="A110">
        <v>4</v>
      </c>
      <c r="B110" s="1">
        <v>44321.657395833332</v>
      </c>
      <c r="C110" t="str">
        <f>"MB:PETTY CASH"</f>
        <v>MB:PETTY CASH</v>
      </c>
      <c r="D110" t="str">
        <f>"MB-999274496125"</f>
        <v>MB-999274496125</v>
      </c>
      <c r="E110" s="2">
        <v>44321</v>
      </c>
      <c r="F110" s="4">
        <v>5000</v>
      </c>
      <c r="H110" s="3">
        <v>492526.18</v>
      </c>
      <c r="I110" t="s">
        <v>30</v>
      </c>
    </row>
    <row r="111" spans="1:9" x14ac:dyDescent="0.25">
      <c r="A111">
        <v>5</v>
      </c>
      <c r="B111" s="1">
        <v>44321.691793981481</v>
      </c>
      <c r="C111" t="str">
        <f>"IB:ECHT"</f>
        <v>IB:ECHT</v>
      </c>
      <c r="D111" t="str">
        <f>"000212846154"</f>
        <v>000212846154</v>
      </c>
      <c r="E111" s="2">
        <v>44321</v>
      </c>
      <c r="F111" s="3">
        <v>274225</v>
      </c>
      <c r="H111" s="3">
        <v>218301.18</v>
      </c>
      <c r="I111" t="s">
        <v>30</v>
      </c>
    </row>
    <row r="112" spans="1:9" x14ac:dyDescent="0.25">
      <c r="A112">
        <v>3</v>
      </c>
      <c r="B112" s="1">
        <v>44322.351793981485</v>
      </c>
      <c r="C112" t="str">
        <f>"MB:COMPUTER ETC"</f>
        <v>MB:COMPUTER ETC</v>
      </c>
      <c r="D112" t="str">
        <f>"MB-999274247817"</f>
        <v>MB-999274247817</v>
      </c>
      <c r="E112" s="2">
        <v>44322</v>
      </c>
      <c r="F112" s="3">
        <v>26712</v>
      </c>
      <c r="H112" s="3">
        <v>191589.18</v>
      </c>
      <c r="I112" t="s">
        <v>30</v>
      </c>
    </row>
    <row r="113" spans="1:9" x14ac:dyDescent="0.25">
      <c r="A113">
        <v>4</v>
      </c>
      <c r="B113" s="1">
        <v>44322.58934027778</v>
      </c>
      <c r="C113" t="str">
        <f>"NEFT BARBV21126635326 US BRAIDS BARB0KAKKAN"</f>
        <v>NEFT BARBV21126635326 US BRAIDS BARB0KAKKAN</v>
      </c>
      <c r="D113" t="str">
        <f>"NEFTINW-0288011313"</f>
        <v>NEFTINW-0288011313</v>
      </c>
      <c r="E113" s="2">
        <v>44322</v>
      </c>
      <c r="G113" s="3">
        <v>27765</v>
      </c>
      <c r="H113" s="3">
        <v>219354.18</v>
      </c>
      <c r="I113" t="s">
        <v>30</v>
      </c>
    </row>
    <row r="114" spans="1:9" x14ac:dyDescent="0.25">
      <c r="A114">
        <v>3</v>
      </c>
      <c r="B114" s="1">
        <v>44323.442418981482</v>
      </c>
      <c r="C114" t="str">
        <f>"IB: ETAX EPFONEW 0017980201"</f>
        <v>IB: ETAX EPFONEW 0017980201</v>
      </c>
      <c r="D114" t="str">
        <f>"GBM-0017980201"</f>
        <v>GBM-0017980201</v>
      </c>
      <c r="E114" s="2">
        <v>44323</v>
      </c>
      <c r="F114" s="3">
        <v>15677</v>
      </c>
      <c r="H114" s="3">
        <v>203677.18</v>
      </c>
      <c r="I114" t="s">
        <v>30</v>
      </c>
    </row>
    <row r="115" spans="1:9" x14ac:dyDescent="0.25">
      <c r="A115">
        <v>4</v>
      </c>
      <c r="B115" s="1">
        <v>44323.616099537037</v>
      </c>
      <c r="C115" t="str">
        <f>"IB: ETAX ITNS281 0017987661"</f>
        <v>IB: ETAX ITNS281 0017987661</v>
      </c>
      <c r="D115" t="str">
        <f>"GBM-0017987661"</f>
        <v>GBM-0017987661</v>
      </c>
      <c r="E115" s="2">
        <v>44323</v>
      </c>
      <c r="F115" s="3">
        <v>2747</v>
      </c>
      <c r="H115" s="3">
        <v>200930.18</v>
      </c>
      <c r="I115" t="s">
        <v>30</v>
      </c>
    </row>
    <row r="116" spans="1:9" x14ac:dyDescent="0.25">
      <c r="A116">
        <v>5</v>
      </c>
      <c r="B116" s="1">
        <v>44323.618784722225</v>
      </c>
      <c r="C116" t="str">
        <f>"IB   TO BOB 23                   Ref 112714186206"</f>
        <v>IB   TO BOB 23                   Ref 112714186206</v>
      </c>
      <c r="D116" t="str">
        <f>"IMPS-112714186062"</f>
        <v>IMPS-112714186062</v>
      </c>
      <c r="E116" s="2">
        <v>44323</v>
      </c>
      <c r="F116" s="4">
        <v>15000</v>
      </c>
      <c r="H116" s="3">
        <v>185930.18</v>
      </c>
      <c r="I116" t="s">
        <v>30</v>
      </c>
    </row>
    <row r="117" spans="1:9" x14ac:dyDescent="0.25">
      <c r="A117">
        <v>6</v>
      </c>
      <c r="B117" s="1">
        <v>44324.374930555554</v>
      </c>
      <c r="C117" t="str">
        <f>"IB   HDFC                        Ref 112808895736"</f>
        <v>IB   HDFC                        Ref 112808895736</v>
      </c>
      <c r="D117" t="str">
        <f>"IMPS-112808895737"</f>
        <v>IMPS-112808895737</v>
      </c>
      <c r="E117" s="2">
        <v>44324</v>
      </c>
      <c r="F117" s="4">
        <v>73000</v>
      </c>
      <c r="H117" s="3">
        <v>112930.18</v>
      </c>
      <c r="I117" t="s">
        <v>30</v>
      </c>
    </row>
    <row r="118" spans="1:9" x14ac:dyDescent="0.25">
      <c r="A118">
        <v>7</v>
      </c>
      <c r="B118" s="1">
        <v>44324.374942129631</v>
      </c>
      <c r="C118" t="str">
        <f>"REV:IMPS 50200011090850 Ref 112808895736"</f>
        <v>REV:IMPS 50200011090850 Ref 112808895736</v>
      </c>
      <c r="D118" t="str">
        <f>"IMPS-112808895822"</f>
        <v>IMPS-112808895822</v>
      </c>
      <c r="E118" s="2">
        <v>44324</v>
      </c>
      <c r="G118" s="4">
        <v>73000</v>
      </c>
      <c r="H118" s="3">
        <v>185930.18</v>
      </c>
      <c r="I118" t="s">
        <v>30</v>
      </c>
    </row>
    <row r="119" spans="1:9" x14ac:dyDescent="0.25">
      <c r="A119">
        <v>8</v>
      </c>
      <c r="B119" s="1">
        <v>44324.376180555555</v>
      </c>
      <c r="C119" t="str">
        <f>"IB:HDFC"</f>
        <v>IB:HDFC</v>
      </c>
      <c r="D119" t="str">
        <f>"000213275598"</f>
        <v>000213275598</v>
      </c>
      <c r="E119" s="2">
        <v>44324</v>
      </c>
      <c r="F119" s="4">
        <v>73000</v>
      </c>
      <c r="H119" s="3">
        <v>112930.18</v>
      </c>
      <c r="I119" t="s">
        <v>30</v>
      </c>
    </row>
    <row r="120" spans="1:9" x14ac:dyDescent="0.25">
      <c r="A120">
        <v>4</v>
      </c>
      <c r="B120" s="1">
        <v>44327.497800925928</v>
      </c>
      <c r="C120" t="str">
        <f>"OS ASIANET ABB 1440024835"</f>
        <v>OS ASIANET ABB 1440024835</v>
      </c>
      <c r="D120" t="str">
        <f>"KPG-0138455245"</f>
        <v>KPG-0138455245</v>
      </c>
      <c r="E120" s="2">
        <v>44327</v>
      </c>
      <c r="F120">
        <v>831.81</v>
      </c>
      <c r="H120" s="3">
        <v>112098.37</v>
      </c>
      <c r="I120" t="s">
        <v>30</v>
      </c>
    </row>
    <row r="121" spans="1:9" x14ac:dyDescent="0.25">
      <c r="A121">
        <v>5</v>
      </c>
      <c r="B121" s="1">
        <v>44328.383564814816</v>
      </c>
      <c r="C121" t="str">
        <f>"IB   HDFC                        Ref 113209118389"</f>
        <v>IB   HDFC                        Ref 113209118389</v>
      </c>
      <c r="D121" t="str">
        <f>"IMPS-113209118390"</f>
        <v>IMPS-113209118390</v>
      </c>
      <c r="E121" s="2">
        <v>44328</v>
      </c>
      <c r="F121" s="4">
        <v>30000</v>
      </c>
      <c r="H121" s="3">
        <v>82098.37</v>
      </c>
      <c r="I121" t="s">
        <v>30</v>
      </c>
    </row>
    <row r="122" spans="1:9" x14ac:dyDescent="0.25">
      <c r="A122">
        <v>3</v>
      </c>
      <c r="B122" s="1">
        <v>44328.715752314813</v>
      </c>
      <c r="C122" t="str">
        <f>"NEFT 24162627101DC SEA FREIGHT AND LOGI ICIC0SF00"</f>
        <v>NEFT 24162627101DC SEA FREIGHT AND LOGI ICIC0SF00</v>
      </c>
      <c r="D122" t="str">
        <f>"NEFTINW-0289480100"</f>
        <v>NEFTINW-0289480100</v>
      </c>
      <c r="E122" s="2">
        <v>44328</v>
      </c>
      <c r="G122" s="3">
        <v>9301</v>
      </c>
      <c r="H122" s="3">
        <v>91399.37</v>
      </c>
      <c r="I122" t="s">
        <v>30</v>
      </c>
    </row>
    <row r="123" spans="1:9" x14ac:dyDescent="0.25">
      <c r="A123">
        <v>4</v>
      </c>
      <c r="B123" s="1">
        <v>44328.715925925928</v>
      </c>
      <c r="C123" t="str">
        <f>"NEFT 24162626531DC SEA FREIGHT AND LOGI ICIC0SF00"</f>
        <v>NEFT 24162626531DC SEA FREIGHT AND LOGI ICIC0SF00</v>
      </c>
      <c r="D123" t="str">
        <f>"NEFTINW-0289480131"</f>
        <v>NEFTINW-0289480131</v>
      </c>
      <c r="E123" s="2">
        <v>44328</v>
      </c>
      <c r="G123" s="3">
        <v>13165</v>
      </c>
      <c r="H123" s="3">
        <v>104564.37</v>
      </c>
      <c r="I123" t="s">
        <v>30</v>
      </c>
    </row>
    <row r="124" spans="1:9" x14ac:dyDescent="0.25">
      <c r="A124">
        <v>5</v>
      </c>
      <c r="B124" s="1">
        <v>44328.715995370374</v>
      </c>
      <c r="C124" t="str">
        <f>"NEFT 24162627481DC SEA FREIGHT AND LOGI ICIC0SF00"</f>
        <v>NEFT 24162627481DC SEA FREIGHT AND LOGI ICIC0SF00</v>
      </c>
      <c r="D124" t="str">
        <f>"NEFTINW-0289480142"</f>
        <v>NEFTINW-0289480142</v>
      </c>
      <c r="E124" s="2">
        <v>44328</v>
      </c>
      <c r="G124" s="3">
        <v>9103</v>
      </c>
      <c r="H124" s="3">
        <v>113667.37</v>
      </c>
      <c r="I124" t="s">
        <v>30</v>
      </c>
    </row>
    <row r="125" spans="1:9" x14ac:dyDescent="0.25">
      <c r="A125">
        <v>6</v>
      </c>
      <c r="B125" s="1">
        <v>44328.716273148151</v>
      </c>
      <c r="C125" t="str">
        <f>"NEFT 24162626651DC SEA FREIGHT AND LOGI ICIC0SF00"</f>
        <v>NEFT 24162626651DC SEA FREIGHT AND LOGI ICIC0SF00</v>
      </c>
      <c r="D125" t="str">
        <f>"NEFTINW-0289480192"</f>
        <v>NEFTINW-0289480192</v>
      </c>
      <c r="E125" s="2">
        <v>44328</v>
      </c>
      <c r="G125" s="3">
        <v>13220</v>
      </c>
      <c r="H125" s="3">
        <v>126887.37</v>
      </c>
      <c r="I125" t="s">
        <v>30</v>
      </c>
    </row>
    <row r="126" spans="1:9" x14ac:dyDescent="0.25">
      <c r="A126">
        <v>7</v>
      </c>
      <c r="B126" s="1">
        <v>44329.325312499997</v>
      </c>
      <c r="C126" t="str">
        <f>"NEFT N133211503534215 PERMA SHIPPING LINE INDIA P"</f>
        <v>NEFT N133211503534215 PERMA SHIPPING LINE INDIA P</v>
      </c>
      <c r="D126" t="str">
        <f>"NEFTINW-0289578980"</f>
        <v>NEFTINW-0289578980</v>
      </c>
      <c r="E126" s="2">
        <v>44329</v>
      </c>
      <c r="G126" s="3">
        <v>15752</v>
      </c>
      <c r="H126" s="3">
        <v>142639.37</v>
      </c>
      <c r="I126" t="s">
        <v>30</v>
      </c>
    </row>
    <row r="127" spans="1:9" x14ac:dyDescent="0.25">
      <c r="A127">
        <v>8</v>
      </c>
      <c r="B127" s="1">
        <v>44329.369062500002</v>
      </c>
      <c r="C127" t="str">
        <f>"IB:HDFC"</f>
        <v>IB:HDFC</v>
      </c>
      <c r="D127" t="str">
        <f>"000213945997"</f>
        <v>000213945997</v>
      </c>
      <c r="E127" s="2">
        <v>44329</v>
      </c>
      <c r="F127" s="4">
        <v>52000</v>
      </c>
      <c r="H127" s="3">
        <v>90639.37</v>
      </c>
      <c r="I127" t="s">
        <v>30</v>
      </c>
    </row>
    <row r="128" spans="1:9" x14ac:dyDescent="0.25">
      <c r="A128">
        <v>3</v>
      </c>
      <c r="B128" s="1">
        <v>44329.408206018517</v>
      </c>
      <c r="C128" t="str">
        <f>"IB: FUND TRANSFER FROM SHIPMENT SOLUTIONS PRIVATE"</f>
        <v>IB: FUND TRANSFER FROM SHIPMENT SOLUTIONS PRIVATE</v>
      </c>
      <c r="D128" t="str">
        <f>"IB"</f>
        <v>IB</v>
      </c>
      <c r="E128" s="2">
        <v>44329</v>
      </c>
      <c r="G128" s="3">
        <v>150000</v>
      </c>
      <c r="H128" s="3">
        <v>240639.37</v>
      </c>
      <c r="I128" t="s">
        <v>30</v>
      </c>
    </row>
    <row r="129" spans="1:9" x14ac:dyDescent="0.25">
      <c r="A129">
        <v>4</v>
      </c>
      <c r="B129" s="1">
        <v>44329.412881944445</v>
      </c>
      <c r="C129" t="str">
        <f>"IB   ECHT                        Ref 113309174886"</f>
        <v>IB   ECHT                        Ref 113309174886</v>
      </c>
      <c r="D129" t="str">
        <f>"IMPS-113309175107"</f>
        <v>IMPS-113309175107</v>
      </c>
      <c r="E129" s="2">
        <v>44329</v>
      </c>
      <c r="F129" s="3">
        <v>139229</v>
      </c>
      <c r="H129" s="3">
        <v>101410.37</v>
      </c>
      <c r="I129" t="s">
        <v>30</v>
      </c>
    </row>
    <row r="130" spans="1:9" x14ac:dyDescent="0.25">
      <c r="A130">
        <v>5</v>
      </c>
      <c r="B130" s="1">
        <v>44329.541354166664</v>
      </c>
      <c r="C130" t="str">
        <f>"BY CLG INST 4995/23-04-21/BOB/KOCHI"</f>
        <v>BY CLG INST 4995/23-04-21/BOB/KOCHI</v>
      </c>
      <c r="D130" t="str">
        <f>""</f>
        <v/>
      </c>
      <c r="E130" s="2">
        <v>44329</v>
      </c>
      <c r="G130" s="3">
        <v>121335</v>
      </c>
      <c r="H130" s="3">
        <v>222745.37</v>
      </c>
      <c r="I130" t="s">
        <v>30</v>
      </c>
    </row>
    <row r="131" spans="1:9" x14ac:dyDescent="0.25">
      <c r="A131">
        <v>6</v>
      </c>
      <c r="B131" s="1">
        <v>44333.742256944446</v>
      </c>
      <c r="C131" t="str">
        <f>"NEFT N137211506655417 INTERGULF SHIPPING LINE PRI"</f>
        <v>NEFT N137211506655417 INTERGULF SHIPPING LINE PRI</v>
      </c>
      <c r="D131" t="str">
        <f>"NEFTINW-0290294828"</f>
        <v>NEFTINW-0290294828</v>
      </c>
      <c r="E131" s="2">
        <v>44333</v>
      </c>
      <c r="G131">
        <v>621</v>
      </c>
      <c r="H131" s="3">
        <v>223366.37</v>
      </c>
      <c r="I131" t="s">
        <v>30</v>
      </c>
    </row>
    <row r="132" spans="1:9" x14ac:dyDescent="0.25">
      <c r="A132">
        <v>7</v>
      </c>
      <c r="B132" s="1">
        <v>44333.86822916667</v>
      </c>
      <c r="C132" t="str">
        <f>"NEFT FDRLH21137820887 COMPASS LOGISTICS INTERNATI"</f>
        <v>NEFT FDRLH21137820887 COMPASS LOGISTICS INTERNATI</v>
      </c>
      <c r="D132" t="str">
        <f>"NEFTINW-0290331919"</f>
        <v>NEFTINW-0290331919</v>
      </c>
      <c r="E132" s="2">
        <v>44333</v>
      </c>
      <c r="G132" s="3">
        <v>733615</v>
      </c>
      <c r="H132" s="3">
        <v>956981.37</v>
      </c>
      <c r="I132" t="s">
        <v>30</v>
      </c>
    </row>
    <row r="133" spans="1:9" x14ac:dyDescent="0.25">
      <c r="A133">
        <v>3</v>
      </c>
      <c r="B133" s="1">
        <v>44334.513842592591</v>
      </c>
      <c r="C133" t="str">
        <f>"NEFT AXMB211383534699 FRETE LOGISTICS INTERNATION"</f>
        <v>NEFT AXMB211383534699 FRETE LOGISTICS INTERNATION</v>
      </c>
      <c r="D133" t="str">
        <f>"NEFTINW-0290386241"</f>
        <v>NEFTINW-0290386241</v>
      </c>
      <c r="E133" s="2">
        <v>44334</v>
      </c>
      <c r="G133" s="3">
        <v>9386.9</v>
      </c>
      <c r="H133" s="3">
        <v>966368.27</v>
      </c>
      <c r="I133" t="s">
        <v>30</v>
      </c>
    </row>
    <row r="134" spans="1:9" x14ac:dyDescent="0.25">
      <c r="A134">
        <v>4</v>
      </c>
      <c r="B134" s="1">
        <v>44334.68</v>
      </c>
      <c r="C134" t="str">
        <f>"NEFT SIN01733Q0311174 FREIGHT SYSTEMS IND SCBL00"</f>
        <v>NEFT SIN01733Q0311174 FREIGHT SYSTEMS IND SCBL00</v>
      </c>
      <c r="D134" t="str">
        <f>"NEFTINW-0290461166"</f>
        <v>NEFTINW-0290461166</v>
      </c>
      <c r="E134" s="2">
        <v>44334</v>
      </c>
      <c r="G134" s="3">
        <v>74787.7</v>
      </c>
      <c r="H134" s="3">
        <v>1041155.97</v>
      </c>
      <c r="I134" t="s">
        <v>30</v>
      </c>
    </row>
    <row r="135" spans="1:9" x14ac:dyDescent="0.25">
      <c r="A135">
        <v>5</v>
      </c>
      <c r="B135" s="1">
        <v>44335.401087962964</v>
      </c>
      <c r="C135" t="str">
        <f>"IB   HDFC                        Ref 113909200308"</f>
        <v>IB   HDFC                        Ref 113909200308</v>
      </c>
      <c r="D135" t="str">
        <f>"IMPS-113909200259"</f>
        <v>IMPS-113909200259</v>
      </c>
      <c r="E135" s="2">
        <v>44335</v>
      </c>
      <c r="F135" s="4">
        <v>145000</v>
      </c>
      <c r="H135" s="3">
        <v>896155.97</v>
      </c>
      <c r="I135" t="s">
        <v>30</v>
      </c>
    </row>
    <row r="136" spans="1:9" x14ac:dyDescent="0.25">
      <c r="A136">
        <v>2</v>
      </c>
      <c r="B136" s="1">
        <v>44335.448530092595</v>
      </c>
      <c r="C136" t="str">
        <f>"FUND TRANSFER-CMS-FROM PAYPCHN"</f>
        <v>FUND TRANSFER-CMS-FROM PAYPCHN</v>
      </c>
      <c r="D136" t="str">
        <f>"CMS-210519000CYM"</f>
        <v>CMS-210519000CYM</v>
      </c>
      <c r="E136" s="2">
        <v>44335</v>
      </c>
      <c r="G136" s="3">
        <v>43710.48</v>
      </c>
      <c r="H136" s="3">
        <v>939866.45</v>
      </c>
      <c r="I136" t="s">
        <v>30</v>
      </c>
    </row>
    <row r="137" spans="1:9" x14ac:dyDescent="0.25">
      <c r="A137">
        <v>3</v>
      </c>
      <c r="B137" s="1">
        <v>44336.523738425924</v>
      </c>
      <c r="C137" t="str">
        <f>"NEFT FBBT211408989598 CUBES INTERNATIONAL LOGISTI"</f>
        <v>NEFT FBBT211408989598 CUBES INTERNATIONAL LOGISTI</v>
      </c>
      <c r="D137" t="str">
        <f>"NEFTINW-0290799988"</f>
        <v>NEFTINW-0290799988</v>
      </c>
      <c r="E137" s="2">
        <v>44336</v>
      </c>
      <c r="G137" s="3">
        <v>141360</v>
      </c>
      <c r="H137" s="3">
        <v>1081226.45</v>
      </c>
      <c r="I137" t="s">
        <v>30</v>
      </c>
    </row>
    <row r="138" spans="1:9" x14ac:dyDescent="0.25">
      <c r="A138">
        <v>4</v>
      </c>
      <c r="B138" s="1">
        <v>44337.373229166667</v>
      </c>
      <c r="C138" t="str">
        <f>"IB   HDFC                        Ref 114108056354"</f>
        <v>IB   HDFC                        Ref 114108056354</v>
      </c>
      <c r="D138" t="str">
        <f>"IMPS-114108056355"</f>
        <v>IMPS-114108056355</v>
      </c>
      <c r="E138" s="2">
        <v>44337</v>
      </c>
      <c r="F138" s="4">
        <v>8000</v>
      </c>
      <c r="H138" s="3">
        <v>1073226.45</v>
      </c>
      <c r="I138" t="s">
        <v>30</v>
      </c>
    </row>
    <row r="139" spans="1:9" x14ac:dyDescent="0.25">
      <c r="A139">
        <v>2</v>
      </c>
      <c r="B139" s="1">
        <v>44337.707569444443</v>
      </c>
      <c r="C139" t="str">
        <f>"NEFT FDRLH21141142434 COMPASS LOGISTICS INTERNATI"</f>
        <v>NEFT FDRLH21141142434 COMPASS LOGISTICS INTERNATI</v>
      </c>
      <c r="D139" t="str">
        <f>"NEFTINW-0291098723"</f>
        <v>NEFTINW-0291098723</v>
      </c>
      <c r="E139" s="2">
        <v>44337</v>
      </c>
      <c r="G139" s="3">
        <v>733615</v>
      </c>
      <c r="H139" s="3">
        <v>1806841.45</v>
      </c>
      <c r="I139" t="s">
        <v>30</v>
      </c>
    </row>
    <row r="140" spans="1:9" x14ac:dyDescent="0.25">
      <c r="A140">
        <v>3</v>
      </c>
      <c r="B140" s="1">
        <v>44338.430428240739</v>
      </c>
      <c r="C140" t="str">
        <f>"IB:GOODRICH SOA"</f>
        <v>IB:GOODRICH SOA</v>
      </c>
      <c r="D140" t="str">
        <f>"000214886688"</f>
        <v>000214886688</v>
      </c>
      <c r="E140" s="2">
        <v>44338</v>
      </c>
      <c r="F140" s="3">
        <v>500000</v>
      </c>
      <c r="H140" s="3">
        <v>1306841.45</v>
      </c>
      <c r="I140" t="s">
        <v>30</v>
      </c>
    </row>
    <row r="141" spans="1:9" x14ac:dyDescent="0.25">
      <c r="A141">
        <v>4</v>
      </c>
      <c r="B141" s="1">
        <v>44338.43072916667</v>
      </c>
      <c r="C141" t="str">
        <f>"IB:GOODRICH SOA"</f>
        <v>IB:GOODRICH SOA</v>
      </c>
      <c r="D141" t="str">
        <f>"000214886721"</f>
        <v>000214886721</v>
      </c>
      <c r="E141" s="2">
        <v>44338</v>
      </c>
      <c r="F141" s="3">
        <v>500000</v>
      </c>
      <c r="H141" s="3">
        <v>806841.45</v>
      </c>
      <c r="I141" t="s">
        <v>30</v>
      </c>
    </row>
    <row r="142" spans="1:9" x14ac:dyDescent="0.25">
      <c r="A142">
        <v>3</v>
      </c>
      <c r="B142" s="1">
        <v>44340.534722222219</v>
      </c>
      <c r="C142" t="str">
        <f>"NEFT FDRLH21144239153 COMPASS LOGISTICS INTERNATI"</f>
        <v>NEFT FDRLH21144239153 COMPASS LOGISTICS INTERNATI</v>
      </c>
      <c r="D142" t="str">
        <f>"NEFTINW-0291347700"</f>
        <v>NEFTINW-0291347700</v>
      </c>
      <c r="E142" s="2">
        <v>44340</v>
      </c>
      <c r="G142" s="3">
        <v>6733.8</v>
      </c>
      <c r="H142" s="3">
        <v>813575.25</v>
      </c>
      <c r="I142" t="s">
        <v>30</v>
      </c>
    </row>
    <row r="143" spans="1:9" x14ac:dyDescent="0.25">
      <c r="A143">
        <v>2</v>
      </c>
      <c r="B143" s="1">
        <v>44341.413819444446</v>
      </c>
      <c r="C143" t="str">
        <f>"MB HDFC                          Ref 114509324707"</f>
        <v>MB HDFC                          Ref 114509324707</v>
      </c>
      <c r="D143" t="str">
        <f>"IMPS-114509324551"</f>
        <v>IMPS-114509324551</v>
      </c>
      <c r="E143" s="2">
        <v>44341</v>
      </c>
      <c r="F143" s="4">
        <v>45000</v>
      </c>
      <c r="H143" s="3">
        <v>768575.25</v>
      </c>
      <c r="I143" t="s">
        <v>30</v>
      </c>
    </row>
    <row r="144" spans="1:9" x14ac:dyDescent="0.25">
      <c r="A144">
        <v>3</v>
      </c>
      <c r="B144" s="1">
        <v>44342.410150462965</v>
      </c>
      <c r="C144" t="str">
        <f>"IB   HDFC                        Ref 114609203509"</f>
        <v>IB   HDFC                        Ref 114609203509</v>
      </c>
      <c r="D144" t="str">
        <f>"IMPS-114609203512"</f>
        <v>IMPS-114609203512</v>
      </c>
      <c r="E144" s="2">
        <v>44342</v>
      </c>
      <c r="F144" s="4">
        <v>1500</v>
      </c>
      <c r="H144" s="3">
        <v>767075.25</v>
      </c>
      <c r="I144" t="s">
        <v>30</v>
      </c>
    </row>
    <row r="145" spans="1:9" x14ac:dyDescent="0.25">
      <c r="A145">
        <v>2</v>
      </c>
      <c r="B145" s="1">
        <v>44343.361967592595</v>
      </c>
      <c r="C145" t="str">
        <f>"IB   HDFC                        Ref 114708994447"</f>
        <v>IB   HDFC                        Ref 114708994447</v>
      </c>
      <c r="D145" t="str">
        <f>"IMPS-114708994448"</f>
        <v>IMPS-114708994448</v>
      </c>
      <c r="E145" s="2">
        <v>44343</v>
      </c>
      <c r="F145" s="4">
        <v>36000</v>
      </c>
      <c r="H145" s="3">
        <v>731075.25</v>
      </c>
      <c r="I145" t="s">
        <v>30</v>
      </c>
    </row>
    <row r="146" spans="1:9" x14ac:dyDescent="0.25">
      <c r="A146">
        <v>2</v>
      </c>
      <c r="B146" s="1">
        <v>44344.386724537035</v>
      </c>
      <c r="C146" t="str">
        <f>"IB   HDFC                        Ref 114809854269"</f>
        <v>IB   HDFC                        Ref 114809854269</v>
      </c>
      <c r="D146" t="str">
        <f>"IMPS-114809854270"</f>
        <v>IMPS-114809854270</v>
      </c>
      <c r="E146" s="2">
        <v>44344</v>
      </c>
      <c r="F146" s="4">
        <v>4000</v>
      </c>
      <c r="H146" s="3">
        <v>727075.25</v>
      </c>
      <c r="I146" t="s">
        <v>30</v>
      </c>
    </row>
    <row r="147" spans="1:9" x14ac:dyDescent="0.25">
      <c r="A147">
        <v>3</v>
      </c>
      <c r="B147" s="1">
        <v>44344.494444444441</v>
      </c>
      <c r="C147" t="str">
        <f>"NEFT AXIC211487189374 OCEANAIR LOGISTICS UTIB0004"</f>
        <v>NEFT AXIC211487189374 OCEANAIR LOGISTICS UTIB0004</v>
      </c>
      <c r="D147" t="str">
        <f>"NEFTINW-0292204069"</f>
        <v>NEFTINW-0292204069</v>
      </c>
      <c r="E147" s="2">
        <v>44344</v>
      </c>
      <c r="G147" s="3">
        <v>26921.7</v>
      </c>
      <c r="H147" s="3">
        <v>753996.95</v>
      </c>
      <c r="I147" t="s">
        <v>30</v>
      </c>
    </row>
    <row r="148" spans="1:9" x14ac:dyDescent="0.25">
      <c r="A148">
        <v>4</v>
      </c>
      <c r="B148" s="1">
        <v>44344.57608796296</v>
      </c>
      <c r="C148" t="str">
        <f>"NEFT BARBW21148119758 AM POWER CORD CORPORATION"</f>
        <v>NEFT BARBW21148119758 AM POWER CORD CORPORATION</v>
      </c>
      <c r="D148" t="str">
        <f>"NEFTINW-0292245655"</f>
        <v>NEFTINW-0292245655</v>
      </c>
      <c r="E148" s="2">
        <v>44344</v>
      </c>
      <c r="G148" s="3">
        <v>27515</v>
      </c>
      <c r="H148" s="3">
        <v>781511.95</v>
      </c>
      <c r="I148" t="s">
        <v>30</v>
      </c>
    </row>
    <row r="149" spans="1:9" x14ac:dyDescent="0.25">
      <c r="A149">
        <v>5</v>
      </c>
      <c r="B149" s="1">
        <v>44344.582361111112</v>
      </c>
      <c r="C149" t="str">
        <f>"NEFT SIN13876Q0093155 M S EXPO FREIGHT PVT SCBL00"</f>
        <v>NEFT SIN13876Q0093155 M S EXPO FREIGHT PVT SCBL00</v>
      </c>
      <c r="D149" t="str">
        <f>"NEFTINW-0292251733"</f>
        <v>NEFTINW-0292251733</v>
      </c>
      <c r="E149" s="2">
        <v>44344</v>
      </c>
      <c r="G149" s="3">
        <v>71276</v>
      </c>
      <c r="H149" s="3">
        <v>852787.95</v>
      </c>
      <c r="I149" t="s">
        <v>30</v>
      </c>
    </row>
    <row r="150" spans="1:9" x14ac:dyDescent="0.25">
      <c r="A150">
        <v>6</v>
      </c>
      <c r="B150" s="1">
        <v>44344.71402777778</v>
      </c>
      <c r="C150" t="str">
        <f>"IB   B O YARD                    Ref 114817298855"</f>
        <v>IB   B O YARD                    Ref 114817298855</v>
      </c>
      <c r="D150" t="str">
        <f>"IMPS-114817298856"</f>
        <v>IMPS-114817298856</v>
      </c>
      <c r="E150" s="2">
        <v>44344</v>
      </c>
      <c r="F150" s="3">
        <v>82863</v>
      </c>
      <c r="H150" s="3">
        <v>769924.95</v>
      </c>
      <c r="I150" t="s">
        <v>30</v>
      </c>
    </row>
    <row r="151" spans="1:9" x14ac:dyDescent="0.25">
      <c r="A151">
        <v>7</v>
      </c>
      <c r="B151" s="1">
        <v>44345.439571759256</v>
      </c>
      <c r="C151" t="str">
        <f>"IB   HDFC                        Ref 114910780182"</f>
        <v>IB   HDFC                        Ref 114910780182</v>
      </c>
      <c r="D151" t="str">
        <f>"IMPS-114910780183"</f>
        <v>IMPS-114910780183</v>
      </c>
      <c r="E151" s="2">
        <v>44345</v>
      </c>
      <c r="F151" s="4">
        <v>165000</v>
      </c>
      <c r="H151" s="3">
        <v>604924.94999999995</v>
      </c>
      <c r="I151" t="s">
        <v>30</v>
      </c>
    </row>
    <row r="152" spans="1:9" x14ac:dyDescent="0.25">
      <c r="A152">
        <v>2</v>
      </c>
      <c r="B152" s="1">
        <v>44346.356412037036</v>
      </c>
      <c r="C152" t="str">
        <f>"MB  TO BOB 23                    Ref 115008511595"</f>
        <v>MB  TO BOB 23                    Ref 115008511595</v>
      </c>
      <c r="D152" t="str">
        <f>"IMPS-115008511625"</f>
        <v>IMPS-115008511625</v>
      </c>
      <c r="E152" s="2">
        <v>44346</v>
      </c>
      <c r="F152" s="4">
        <v>10000</v>
      </c>
      <c r="H152" s="3">
        <v>594924.94999999995</v>
      </c>
      <c r="I152" t="s">
        <v>30</v>
      </c>
    </row>
    <row r="153" spans="1:9" x14ac:dyDescent="0.25">
      <c r="A153">
        <v>3</v>
      </c>
      <c r="B153" s="1">
        <v>44346.578981481478</v>
      </c>
      <c r="C153" t="str">
        <f>"NEFT FDRLH21150734460 COMPASS LOGISTICS INTERNATI"</f>
        <v>NEFT FDRLH21150734460 COMPASS LOGISTICS INTERNATI</v>
      </c>
      <c r="D153" t="str">
        <f>"NEFTINW-0292570857"</f>
        <v>NEFTINW-0292570857</v>
      </c>
      <c r="E153" s="2">
        <v>44346</v>
      </c>
      <c r="G153" s="3">
        <v>742479.3</v>
      </c>
      <c r="H153" s="3">
        <v>1337404.25</v>
      </c>
      <c r="I153" t="s">
        <v>30</v>
      </c>
    </row>
    <row r="154" spans="1:9" x14ac:dyDescent="0.25">
      <c r="A154">
        <v>4</v>
      </c>
      <c r="B154" s="1">
        <v>44346.708819444444</v>
      </c>
      <c r="C154" t="str">
        <f>"Received from ENTR XX0198 IMPS BANKOFBARO"</f>
        <v>Received from ENTR XX0198 IMPS BANKOFBARO</v>
      </c>
      <c r="D154" t="str">
        <f>"IMPS-115017858718"</f>
        <v>IMPS-115017858718</v>
      </c>
      <c r="E154" s="2">
        <v>44346</v>
      </c>
      <c r="G154" s="3">
        <v>26465</v>
      </c>
      <c r="H154" s="3">
        <v>1363869.25</v>
      </c>
      <c r="I154" t="s">
        <v>30</v>
      </c>
    </row>
    <row r="155" spans="1:9" x14ac:dyDescent="0.25">
      <c r="A155">
        <v>4</v>
      </c>
      <c r="B155" s="1">
        <v>44347.452106481483</v>
      </c>
      <c r="C155" t="str">
        <f>"NEFT FBBT211519163345 CUBES INTERNATIONAL LOGISTI"</f>
        <v>NEFT FBBT211519163345 CUBES INTERNATIONAL LOGISTI</v>
      </c>
      <c r="D155" t="str">
        <f>"NEFTINW-0292709502"</f>
        <v>NEFTINW-0292709502</v>
      </c>
      <c r="E155" s="2">
        <v>44347</v>
      </c>
      <c r="G155" s="3">
        <v>130205</v>
      </c>
      <c r="H155" s="3">
        <v>1494074.25</v>
      </c>
      <c r="I155" t="s">
        <v>30</v>
      </c>
    </row>
    <row r="156" spans="1:9" x14ac:dyDescent="0.25">
      <c r="A156">
        <v>5</v>
      </c>
      <c r="B156" s="1">
        <v>44347.469074074077</v>
      </c>
      <c r="C156" t="str">
        <f>"Sent RTGS KKBKR52021053100881340/TLPL INTEGRA"</f>
        <v>Sent RTGS KKBKR52021053100881340/TLPL INTEGRA</v>
      </c>
      <c r="D156" t="str">
        <f>"154"</f>
        <v>154</v>
      </c>
      <c r="E156" s="2">
        <v>44347</v>
      </c>
      <c r="F156" s="3">
        <v>736961</v>
      </c>
      <c r="H156" s="3">
        <v>757113.25</v>
      </c>
      <c r="I156" t="s">
        <v>30</v>
      </c>
    </row>
    <row r="157" spans="1:9" x14ac:dyDescent="0.25">
      <c r="A157">
        <v>6</v>
      </c>
      <c r="B157" s="1">
        <v>44347.489224537036</v>
      </c>
      <c r="C157" t="str">
        <f>"Y/S  SALARY DISBURSAL"</f>
        <v>Y/S  SALARY DISBURSAL</v>
      </c>
      <c r="D157" t="str">
        <f>"153"</f>
        <v>153</v>
      </c>
      <c r="E157" s="2">
        <v>44347</v>
      </c>
      <c r="F157" s="3">
        <v>83684</v>
      </c>
      <c r="H157" s="3">
        <v>673429.25</v>
      </c>
      <c r="I157" t="s">
        <v>30</v>
      </c>
    </row>
    <row r="158" spans="1:9" x14ac:dyDescent="0.25">
      <c r="A158">
        <v>7</v>
      </c>
      <c r="B158" s="1">
        <v>44347.500486111108</v>
      </c>
      <c r="C158" t="str">
        <f>"NEFT FDRLH21151768109 COMPASS LOGISTICS INTERNATI"</f>
        <v>NEFT FDRLH21151768109 COMPASS LOGISTICS INTERNATI</v>
      </c>
      <c r="D158" t="str">
        <f>"NEFTINW-0292750474"</f>
        <v>NEFTINW-0292750474</v>
      </c>
      <c r="E158" s="2">
        <v>44347</v>
      </c>
      <c r="G158" s="3">
        <v>25000</v>
      </c>
      <c r="H158" s="3">
        <v>698429.25</v>
      </c>
      <c r="I158" t="s">
        <v>30</v>
      </c>
    </row>
    <row r="159" spans="1:9" x14ac:dyDescent="0.25">
      <c r="A159">
        <v>8</v>
      </c>
      <c r="B159" s="1">
        <v>44347.517569444448</v>
      </c>
      <c r="C159" t="str">
        <f>"MB S DEPOSIT                     Ref 115112448248"</f>
        <v>MB S DEPOSIT                     Ref 115112448248</v>
      </c>
      <c r="D159" t="str">
        <f>"IMPS-115112448321"</f>
        <v>IMPS-115112448321</v>
      </c>
      <c r="E159" s="2">
        <v>44347</v>
      </c>
      <c r="F159" s="3">
        <v>25000</v>
      </c>
      <c r="H159" s="3">
        <v>673429.25</v>
      </c>
      <c r="I159" t="s">
        <v>30</v>
      </c>
    </row>
    <row r="160" spans="1:9" x14ac:dyDescent="0.25">
      <c r="A160">
        <v>9</v>
      </c>
      <c r="B160" s="1">
        <v>44347.596909722219</v>
      </c>
      <c r="C160" t="str">
        <f>"MB:HARI REPAID"</f>
        <v>MB:HARI REPAID</v>
      </c>
      <c r="D160" t="str">
        <f>"MB-999264984880"</f>
        <v>MB-999264984880</v>
      </c>
      <c r="E160" s="2">
        <v>44347</v>
      </c>
      <c r="F160" s="4">
        <v>30960</v>
      </c>
      <c r="H160" s="3">
        <v>642469.25</v>
      </c>
      <c r="I160" t="s">
        <v>30</v>
      </c>
    </row>
    <row r="161" spans="1:9" x14ac:dyDescent="0.25">
      <c r="A161">
        <v>10</v>
      </c>
      <c r="B161" s="1">
        <v>44347.646689814814</v>
      </c>
      <c r="C161" t="str">
        <f>"NEFT 24255797281DC CHAKIAT AGENCIES ICIC0SF0002"</f>
        <v>NEFT 24255797281DC CHAKIAT AGENCIES ICIC0SF0002</v>
      </c>
      <c r="D161" t="str">
        <f>"NEFTINW-0292874708"</f>
        <v>NEFTINW-0292874708</v>
      </c>
      <c r="E161" s="2">
        <v>44347</v>
      </c>
      <c r="G161" s="3">
        <v>44810</v>
      </c>
      <c r="H161" s="3">
        <v>687279.25</v>
      </c>
      <c r="I161" t="s">
        <v>30</v>
      </c>
    </row>
    <row r="162" spans="1:9" x14ac:dyDescent="0.25">
      <c r="A162">
        <v>11</v>
      </c>
      <c r="B162" s="1">
        <v>44347.686296296299</v>
      </c>
      <c r="C162" t="str">
        <f>"NEFT 053101689GN00008 SCHENKER INDIA PRIVATE LIMI"</f>
        <v>NEFT 053101689GN00008 SCHENKER INDIA PRIVATE LIMI</v>
      </c>
      <c r="D162" t="str">
        <f>"NEFTINW-0292902528"</f>
        <v>NEFTINW-0292902528</v>
      </c>
      <c r="E162" s="2">
        <v>44347</v>
      </c>
      <c r="G162" s="3">
        <v>215718.7</v>
      </c>
      <c r="H162" s="3">
        <v>902997.95</v>
      </c>
      <c r="I162" t="s">
        <v>30</v>
      </c>
    </row>
    <row r="163" spans="1:9" x14ac:dyDescent="0.25">
      <c r="A163">
        <v>12</v>
      </c>
      <c r="B163" s="1">
        <v>44348.285613425927</v>
      </c>
      <c r="C163" t="str">
        <f>"IB   HDFC                        Ref 115206302066"</f>
        <v>IB   HDFC                        Ref 115206302066</v>
      </c>
      <c r="D163" t="str">
        <f>"IMPS-115206302067"</f>
        <v>IMPS-115206302067</v>
      </c>
      <c r="E163" s="2">
        <v>44348</v>
      </c>
      <c r="F163" s="4">
        <v>65000</v>
      </c>
      <c r="H163" s="3">
        <v>837997.95</v>
      </c>
      <c r="I163" t="s">
        <v>30</v>
      </c>
    </row>
    <row r="164" spans="1:9" x14ac:dyDescent="0.25">
      <c r="A164">
        <v>2</v>
      </c>
      <c r="B164" s="1">
        <v>44348.363645833335</v>
      </c>
      <c r="C164" t="str">
        <f>"MB NIMAL STIPEND                 Ref 115208375210"</f>
        <v>MB NIMAL STIPEND                 Ref 115208375210</v>
      </c>
      <c r="D164" t="str">
        <f>"IMPS-115208375213"</f>
        <v>IMPS-115208375213</v>
      </c>
      <c r="E164" s="2">
        <v>44348</v>
      </c>
      <c r="F164" s="4">
        <v>10000</v>
      </c>
      <c r="H164" s="3">
        <v>827997.95</v>
      </c>
      <c r="I164" t="s">
        <v>30</v>
      </c>
    </row>
    <row r="165" spans="1:9" x14ac:dyDescent="0.25">
      <c r="A165">
        <v>3</v>
      </c>
      <c r="B165" s="1">
        <v>44348.364652777775</v>
      </c>
      <c r="C165" t="str">
        <f>"MB ASWIN STIPEND                 Ref 115208376437"</f>
        <v>MB ASWIN STIPEND                 Ref 115208376437</v>
      </c>
      <c r="D165" t="str">
        <f>"IMPS-115208376439"</f>
        <v>IMPS-115208376439</v>
      </c>
      <c r="E165" s="2">
        <v>44348</v>
      </c>
      <c r="F165" s="4">
        <v>10000</v>
      </c>
      <c r="H165" s="3">
        <v>817997.95</v>
      </c>
      <c r="I165" t="s">
        <v>30</v>
      </c>
    </row>
    <row r="166" spans="1:9" x14ac:dyDescent="0.25">
      <c r="A166">
        <v>4</v>
      </c>
      <c r="B166" s="1">
        <v>44348.364976851852</v>
      </c>
      <c r="C166" t="str">
        <f>"MB:CAROL"</f>
        <v>MB:CAROL</v>
      </c>
      <c r="D166" t="str">
        <f>"MB-999264671051"</f>
        <v>MB-999264671051</v>
      </c>
      <c r="E166" s="2">
        <v>44348</v>
      </c>
      <c r="F166" s="4">
        <v>2500</v>
      </c>
      <c r="H166" s="3">
        <v>815497.95</v>
      </c>
      <c r="I166" t="s">
        <v>30</v>
      </c>
    </row>
    <row r="167" spans="1:9" x14ac:dyDescent="0.25">
      <c r="A167">
        <v>5</v>
      </c>
      <c r="B167" s="1">
        <v>44348.432511574072</v>
      </c>
      <c r="C167" t="str">
        <f>"NEFT BARBY21152276385 ASSOCIATED GLOBAL LOGISTICS"</f>
        <v>NEFT BARBY21152276385 ASSOCIATED GLOBAL LOGISTICS</v>
      </c>
      <c r="D167" t="str">
        <f>"NEFTINW-0293099939"</f>
        <v>NEFTINW-0293099939</v>
      </c>
      <c r="E167" s="2">
        <v>44348</v>
      </c>
      <c r="G167" s="3">
        <v>91550.7</v>
      </c>
      <c r="H167" s="3">
        <v>907048.65</v>
      </c>
      <c r="I167" t="s">
        <v>30</v>
      </c>
    </row>
    <row r="168" spans="1:9" x14ac:dyDescent="0.25">
      <c r="A168">
        <v>6</v>
      </c>
      <c r="B168" s="1">
        <v>44348.474710648145</v>
      </c>
      <c r="C168" t="str">
        <f>"TO 1048"</f>
        <v>TO 1048</v>
      </c>
      <c r="D168" t="str">
        <f>"IB"</f>
        <v>IB</v>
      </c>
      <c r="E168" s="2">
        <v>44348</v>
      </c>
      <c r="F168" s="4">
        <v>500000</v>
      </c>
      <c r="H168" s="3">
        <v>407048.65</v>
      </c>
      <c r="I168" t="s">
        <v>30</v>
      </c>
    </row>
    <row r="169" spans="1:9" x14ac:dyDescent="0.25">
      <c r="A169">
        <v>7</v>
      </c>
      <c r="B169" s="1">
        <v>44348.506018518521</v>
      </c>
      <c r="C169" t="str">
        <f>"RTGS FDRLR52021060100957387 COMPASS LOGISTICS I"</f>
        <v>RTGS FDRLR52021060100957387 COMPASS LOGISTICS I</v>
      </c>
      <c r="D169" t="str">
        <f>"RTGSINW-0039216572"</f>
        <v>RTGSINW-0039216572</v>
      </c>
      <c r="E169" s="2">
        <v>44348</v>
      </c>
      <c r="G169" s="3">
        <v>742479</v>
      </c>
      <c r="H169" s="3">
        <v>1149527.6499999999</v>
      </c>
      <c r="I169" t="s">
        <v>30</v>
      </c>
    </row>
    <row r="170" spans="1:9" x14ac:dyDescent="0.25">
      <c r="A170">
        <v>8</v>
      </c>
      <c r="B170" s="1">
        <v>44348.547384259262</v>
      </c>
      <c r="C170" t="str">
        <f>"IB:TLPL 1"</f>
        <v>IB:TLPL 1</v>
      </c>
      <c r="D170" t="str">
        <f>"000216091152"</f>
        <v>000216091152</v>
      </c>
      <c r="E170" s="2">
        <v>44348</v>
      </c>
      <c r="F170" s="3">
        <v>500000</v>
      </c>
      <c r="H170" s="3">
        <v>649527.65</v>
      </c>
      <c r="I170" t="s">
        <v>30</v>
      </c>
    </row>
    <row r="171" spans="1:9" x14ac:dyDescent="0.25">
      <c r="A171">
        <v>9</v>
      </c>
      <c r="B171" s="1">
        <v>44348.554872685185</v>
      </c>
      <c r="C171" t="str">
        <f>"IB:TLPL 2"</f>
        <v>IB:TLPL 2</v>
      </c>
      <c r="D171" t="str">
        <f>"000216094797"</f>
        <v>000216094797</v>
      </c>
      <c r="E171" s="2">
        <v>44348</v>
      </c>
      <c r="F171" s="3">
        <v>236961</v>
      </c>
      <c r="H171" s="3">
        <v>412566.65</v>
      </c>
      <c r="I171" t="s">
        <v>30</v>
      </c>
    </row>
    <row r="172" spans="1:9" x14ac:dyDescent="0.25">
      <c r="A172">
        <v>10</v>
      </c>
      <c r="B172" s="1">
        <v>44349.566284722219</v>
      </c>
      <c r="C172" t="str">
        <f>"NEFT SIN13876Q0093519 M S EXPO FREIGHT PVT SCBL00"</f>
        <v>NEFT SIN13876Q0093519 M S EXPO FREIGHT PVT SCBL00</v>
      </c>
      <c r="D172" t="str">
        <f>"NEFTINW-0293467311"</f>
        <v>NEFTINW-0293467311</v>
      </c>
      <c r="E172" s="2">
        <v>44349</v>
      </c>
      <c r="G172" s="3">
        <v>71276</v>
      </c>
      <c r="H172" s="3">
        <v>483842.65</v>
      </c>
      <c r="I172" t="s">
        <v>30</v>
      </c>
    </row>
    <row r="173" spans="1:9" x14ac:dyDescent="0.25">
      <c r="A173">
        <v>11</v>
      </c>
      <c r="B173" s="1">
        <v>44349.731921296298</v>
      </c>
      <c r="C173" t="str">
        <f>"IB   RENT GANDI                  Ref 115317286976"</f>
        <v>IB   RENT GANDI                  Ref 115317286976</v>
      </c>
      <c r="D173" t="str">
        <f>"IMPS-115317287043"</f>
        <v>IMPS-115317287043</v>
      </c>
      <c r="E173" s="2">
        <v>44349</v>
      </c>
      <c r="F173" s="4">
        <v>6500</v>
      </c>
      <c r="H173" s="3">
        <v>477342.65</v>
      </c>
      <c r="I173" t="s">
        <v>30</v>
      </c>
    </row>
    <row r="174" spans="1:9" x14ac:dyDescent="0.25">
      <c r="A174">
        <v>12</v>
      </c>
      <c r="B174" s="1">
        <v>44349.740590277775</v>
      </c>
      <c r="C174" t="str">
        <f>"NEFT N153211520780846 FORTUNE ELASTOMERS PRIVATE"</f>
        <v>NEFT N153211520780846 FORTUNE ELASTOMERS PRIVATE</v>
      </c>
      <c r="D174" t="str">
        <f>"NEFTINW-0293564962"</f>
        <v>NEFTINW-0293564962</v>
      </c>
      <c r="E174" s="2">
        <v>44349</v>
      </c>
      <c r="G174" s="3">
        <v>91167</v>
      </c>
      <c r="H174" s="3">
        <v>568509.65</v>
      </c>
      <c r="I174" t="s">
        <v>30</v>
      </c>
    </row>
    <row r="175" spans="1:9" x14ac:dyDescent="0.25">
      <c r="A175">
        <v>13</v>
      </c>
      <c r="B175" s="1">
        <v>44349.859166666669</v>
      </c>
      <c r="C175" t="str">
        <f>"IB: FUND TRANSFER FROM SHIPMENT SOLUTIONS PRIVATE"</f>
        <v>IB: FUND TRANSFER FROM SHIPMENT SOLUTIONS PRIVATE</v>
      </c>
      <c r="D175" t="str">
        <f>"IB"</f>
        <v>IB</v>
      </c>
      <c r="E175" s="2">
        <v>44349</v>
      </c>
      <c r="G175" s="3">
        <v>500000</v>
      </c>
      <c r="H175" s="3">
        <v>1068509.6499999999</v>
      </c>
      <c r="I175" t="s">
        <v>30</v>
      </c>
    </row>
    <row r="176" spans="1:9" x14ac:dyDescent="0.25">
      <c r="A176">
        <v>5</v>
      </c>
      <c r="B176" s="1">
        <v>44350.415972222225</v>
      </c>
      <c r="C176" t="str">
        <f>"IB   HDFC                        Ref 115409805316"</f>
        <v>IB   HDFC                        Ref 115409805316</v>
      </c>
      <c r="D176" t="str">
        <f>"IMPS-115409805298"</f>
        <v>IMPS-115409805298</v>
      </c>
      <c r="E176" s="2">
        <v>44350</v>
      </c>
      <c r="F176" s="4">
        <v>137000</v>
      </c>
      <c r="H176" s="3">
        <v>931509.65</v>
      </c>
      <c r="I176" t="s">
        <v>30</v>
      </c>
    </row>
    <row r="177" spans="1:9" x14ac:dyDescent="0.25">
      <c r="A177">
        <v>6</v>
      </c>
      <c r="B177" s="1">
        <v>44350.603495370371</v>
      </c>
      <c r="C177" t="str">
        <f>"MB:SIBIN"</f>
        <v>MB:SIBIN</v>
      </c>
      <c r="D177" t="str">
        <f>"MB-999263476913"</f>
        <v>MB-999263476913</v>
      </c>
      <c r="E177" s="2">
        <v>44350</v>
      </c>
      <c r="F177" s="4">
        <v>100000</v>
      </c>
      <c r="H177" s="3">
        <v>831509.65</v>
      </c>
      <c r="I177" t="s">
        <v>30</v>
      </c>
    </row>
    <row r="178" spans="1:9" x14ac:dyDescent="0.25">
      <c r="A178">
        <v>3</v>
      </c>
      <c r="B178" s="1">
        <v>44351.502650462964</v>
      </c>
      <c r="C178" t="str">
        <f>"IB   TO BOB 23                   Ref 115512040824"</f>
        <v>IB   TO BOB 23                   Ref 115512040824</v>
      </c>
      <c r="D178" t="str">
        <f>"IMPS-115512040825"</f>
        <v>IMPS-115512040825</v>
      </c>
      <c r="E178" s="2">
        <v>44351</v>
      </c>
      <c r="F178" s="4">
        <v>128000</v>
      </c>
      <c r="H178" s="3">
        <v>703509.65</v>
      </c>
      <c r="I178" t="s">
        <v>30</v>
      </c>
    </row>
    <row r="179" spans="1:9" x14ac:dyDescent="0.25">
      <c r="A179">
        <v>4</v>
      </c>
      <c r="B179" s="1">
        <v>44351.852326388886</v>
      </c>
      <c r="C179" t="str">
        <f>"NEFT SBIN521155647985 UNITED SEAFOODS SBIN0004063"</f>
        <v>NEFT SBIN521155647985 UNITED SEAFOODS SBIN0004063</v>
      </c>
      <c r="D179" t="str">
        <f>"NEFTINW-0294169676"</f>
        <v>NEFTINW-0294169676</v>
      </c>
      <c r="E179" s="2">
        <v>44351</v>
      </c>
      <c r="G179" s="3">
        <v>44857.7</v>
      </c>
      <c r="H179" s="3">
        <v>748367.35</v>
      </c>
      <c r="I179" t="s">
        <v>30</v>
      </c>
    </row>
    <row r="180" spans="1:9" x14ac:dyDescent="0.25">
      <c r="A180">
        <v>3</v>
      </c>
      <c r="B180" s="1">
        <v>44352.439432870371</v>
      </c>
      <c r="C180" t="str">
        <f>"OS ASIANET ABB 1460976425"</f>
        <v>OS ASIANET ABB 1460976425</v>
      </c>
      <c r="D180" t="str">
        <f>"KPG-0140441261"</f>
        <v>KPG-0140441261</v>
      </c>
      <c r="E180" s="2">
        <v>44352</v>
      </c>
      <c r="F180" s="4">
        <v>1367.31</v>
      </c>
      <c r="H180" s="3">
        <v>747000.04</v>
      </c>
      <c r="I180" t="s">
        <v>30</v>
      </c>
    </row>
    <row r="181" spans="1:9" x14ac:dyDescent="0.25">
      <c r="A181">
        <v>4</v>
      </c>
      <c r="B181" s="1">
        <v>44352.450706018521</v>
      </c>
      <c r="C181" t="str">
        <f>"MB REF RENJITH                   Ref 115610013310"</f>
        <v>MB REF RENJITH                   Ref 115610013310</v>
      </c>
      <c r="D181" t="str">
        <f>"IMPS-115610013311"</f>
        <v>IMPS-115610013311</v>
      </c>
      <c r="E181" s="2">
        <v>44352</v>
      </c>
      <c r="F181" s="3">
        <v>5000</v>
      </c>
      <c r="H181" s="3">
        <v>742000.04</v>
      </c>
      <c r="I181" t="s">
        <v>30</v>
      </c>
    </row>
    <row r="182" spans="1:9" x14ac:dyDescent="0.25">
      <c r="A182">
        <v>5</v>
      </c>
      <c r="B182" s="1">
        <v>44354.488599537035</v>
      </c>
      <c r="C182" t="str">
        <f>"MB TO BOB 23                     Ref 115811904240"</f>
        <v>MB TO BOB 23                     Ref 115811904240</v>
      </c>
      <c r="D182" t="str">
        <f>"IMPS-115811904316"</f>
        <v>IMPS-115811904316</v>
      </c>
      <c r="E182" s="2">
        <v>44354</v>
      </c>
      <c r="F182" s="4">
        <v>25000</v>
      </c>
      <c r="H182" s="3">
        <v>717000.04</v>
      </c>
      <c r="I182" t="s">
        <v>30</v>
      </c>
    </row>
    <row r="183" spans="1:9" x14ac:dyDescent="0.25">
      <c r="A183">
        <v>6</v>
      </c>
      <c r="B183" s="1">
        <v>44354.615289351852</v>
      </c>
      <c r="C183" t="str">
        <f>"NEFT AXIC211581303942 OCEANAIR LOGISTICS UTIB0004"</f>
        <v>NEFT AXIC211581303942 OCEANAIR LOGISTICS UTIB0004</v>
      </c>
      <c r="D183" t="str">
        <f>"NEFTINW-0294633315"</f>
        <v>NEFTINW-0294633315</v>
      </c>
      <c r="E183" s="2">
        <v>44354</v>
      </c>
      <c r="G183" s="3">
        <v>101568.5</v>
      </c>
      <c r="H183" s="3">
        <v>818568.54</v>
      </c>
      <c r="I183" t="s">
        <v>30</v>
      </c>
    </row>
    <row r="184" spans="1:9" x14ac:dyDescent="0.25">
      <c r="A184">
        <v>7</v>
      </c>
      <c r="B184" s="1">
        <v>44355.430648148147</v>
      </c>
      <c r="C184" t="str">
        <f>"IB   HDFC                        Ref 115910918474"</f>
        <v>IB   HDFC                        Ref 115910918474</v>
      </c>
      <c r="D184" t="str">
        <f>"IMPS-115910918588"</f>
        <v>IMPS-115910918588</v>
      </c>
      <c r="E184" s="2">
        <v>44355</v>
      </c>
      <c r="F184" s="4">
        <v>21000</v>
      </c>
      <c r="H184" s="3">
        <v>797568.54</v>
      </c>
      <c r="I184" t="s">
        <v>30</v>
      </c>
    </row>
    <row r="185" spans="1:9" x14ac:dyDescent="0.25">
      <c r="A185">
        <v>2</v>
      </c>
      <c r="B185" s="1">
        <v>44355.452106481483</v>
      </c>
      <c r="C185" t="str">
        <f>"NEFT AXIC211591725039 OCEANAIR LOGISTICS UTIB0004"</f>
        <v>NEFT AXIC211591725039 OCEANAIR LOGISTICS UTIB0004</v>
      </c>
      <c r="D185" t="str">
        <f>"NEFTINW-0294917278"</f>
        <v>NEFTINW-0294917278</v>
      </c>
      <c r="E185" s="2">
        <v>44355</v>
      </c>
      <c r="G185" s="3">
        <v>3416.1</v>
      </c>
      <c r="H185" s="3">
        <v>800984.64</v>
      </c>
      <c r="I185" t="s">
        <v>30</v>
      </c>
    </row>
    <row r="186" spans="1:9" x14ac:dyDescent="0.25">
      <c r="A186">
        <v>3</v>
      </c>
      <c r="B186" s="1">
        <v>44355.67328703704</v>
      </c>
      <c r="C186" t="str">
        <f>"MB HOUSE KEEPING                 Ref 115916356716"</f>
        <v>MB HOUSE KEEPING                 Ref 115916356716</v>
      </c>
      <c r="D186" t="str">
        <f>"IMPS-115916356717"</f>
        <v>IMPS-115916356717</v>
      </c>
      <c r="E186" s="2">
        <v>44355</v>
      </c>
      <c r="F186" s="4">
        <v>6000</v>
      </c>
      <c r="H186" s="3">
        <v>794984.64</v>
      </c>
      <c r="I186" t="s">
        <v>30</v>
      </c>
    </row>
    <row r="187" spans="1:9" x14ac:dyDescent="0.25">
      <c r="A187">
        <v>4</v>
      </c>
      <c r="B187" s="1">
        <v>44356.421006944445</v>
      </c>
      <c r="C187" t="str">
        <f>"IB   HDFC                        Ref 116010977304"</f>
        <v>IB   HDFC                        Ref 116010977304</v>
      </c>
      <c r="D187" t="str">
        <f>"IMPS-116010977215"</f>
        <v>IMPS-116010977215</v>
      </c>
      <c r="E187" s="2">
        <v>44356</v>
      </c>
      <c r="F187" s="4">
        <v>14000</v>
      </c>
      <c r="H187" s="3">
        <v>780984.64</v>
      </c>
      <c r="I187" t="s">
        <v>30</v>
      </c>
    </row>
    <row r="188" spans="1:9" x14ac:dyDescent="0.25">
      <c r="A188">
        <v>2</v>
      </c>
      <c r="B188" s="1">
        <v>44356.561782407407</v>
      </c>
      <c r="C188" t="str">
        <f>"NEFT BARBU21160256841 AM POWER CORD CORPORATION"</f>
        <v>NEFT BARBU21160256841 AM POWER CORD CORPORATION</v>
      </c>
      <c r="D188" t="str">
        <f>"NEFTINW-0295262755"</f>
        <v>NEFTINW-0295262755</v>
      </c>
      <c r="E188" s="2">
        <v>44356</v>
      </c>
      <c r="G188" s="3">
        <v>27515</v>
      </c>
      <c r="H188" s="3">
        <v>808499.64</v>
      </c>
      <c r="I188" t="s">
        <v>30</v>
      </c>
    </row>
    <row r="189" spans="1:9" x14ac:dyDescent="0.25">
      <c r="A189">
        <v>3</v>
      </c>
      <c r="B189" s="1">
        <v>44356.747106481482</v>
      </c>
      <c r="C189" t="str">
        <f>"NEFT FBBT211609304587 GLOSHIPPING AND LOGISTICS P"</f>
        <v>NEFT FBBT211609304587 GLOSHIPPING AND LOGISTICS P</v>
      </c>
      <c r="D189" t="str">
        <f>"NEFTINW-0295371444"</f>
        <v>NEFTINW-0295371444</v>
      </c>
      <c r="E189" s="2">
        <v>44356</v>
      </c>
      <c r="G189" s="3">
        <v>195217</v>
      </c>
      <c r="H189" s="3">
        <v>1003716.64</v>
      </c>
      <c r="I189" t="s">
        <v>30</v>
      </c>
    </row>
    <row r="190" spans="1:9" x14ac:dyDescent="0.25">
      <c r="A190">
        <v>4</v>
      </c>
      <c r="B190" s="1">
        <v>44356.800995370373</v>
      </c>
      <c r="C190" t="str">
        <f>"NEFT FBBT211609306848 CUBES INTERNATIONAL LOGISTI"</f>
        <v>NEFT FBBT211609306848 CUBES INTERNATIONAL LOGISTI</v>
      </c>
      <c r="D190" t="str">
        <f>"NEFTINW-0295418440"</f>
        <v>NEFTINW-0295418440</v>
      </c>
      <c r="E190" s="2">
        <v>44356</v>
      </c>
      <c r="G190" s="3">
        <v>126654</v>
      </c>
      <c r="H190" s="3">
        <v>1130370.6399999999</v>
      </c>
      <c r="I190" t="s">
        <v>30</v>
      </c>
    </row>
    <row r="191" spans="1:9" x14ac:dyDescent="0.25">
      <c r="A191">
        <v>5</v>
      </c>
      <c r="B191" s="1">
        <v>44357.372534722221</v>
      </c>
      <c r="C191" t="str">
        <f>"IB   HDFC                        Ref 116108006020"</f>
        <v>IB   HDFC                        Ref 116108006020</v>
      </c>
      <c r="D191" t="str">
        <f>"IMPS-116108006021"</f>
        <v>IMPS-116108006021</v>
      </c>
      <c r="E191" s="2">
        <v>44357</v>
      </c>
      <c r="F191" s="4">
        <v>90000</v>
      </c>
      <c r="H191" s="3">
        <v>1040370.64</v>
      </c>
      <c r="I191" t="s">
        <v>30</v>
      </c>
    </row>
    <row r="192" spans="1:9" x14ac:dyDescent="0.25">
      <c r="A192">
        <v>2</v>
      </c>
      <c r="B192" s="1">
        <v>44357.754814814813</v>
      </c>
      <c r="C192" t="str">
        <f>"NEFT AXIC211613124080 OCEANAIR LOGISTICS UTIB0004"</f>
        <v>NEFT AXIC211613124080 OCEANAIR LOGISTICS UTIB0004</v>
      </c>
      <c r="D192" t="str">
        <f>"NEFTINW-0295700893"</f>
        <v>NEFTINW-0295700893</v>
      </c>
      <c r="E192" s="2">
        <v>44357</v>
      </c>
      <c r="G192" s="3">
        <v>116619.46</v>
      </c>
      <c r="H192" s="3">
        <v>1156990.1000000001</v>
      </c>
      <c r="I192" t="s">
        <v>30</v>
      </c>
    </row>
    <row r="193" spans="1:9" x14ac:dyDescent="0.25">
      <c r="A193">
        <v>3</v>
      </c>
      <c r="B193" s="1">
        <v>44358.751608796294</v>
      </c>
      <c r="C193" t="str">
        <f>"NEFT N162211531562863 PERMA SHIPPING LINE INDIA P"</f>
        <v>NEFT N162211531562863 PERMA SHIPPING LINE INDIA P</v>
      </c>
      <c r="D193" t="str">
        <f>"NEFTINW-0295973225"</f>
        <v>NEFTINW-0295973225</v>
      </c>
      <c r="E193" s="2">
        <v>44358</v>
      </c>
      <c r="G193" s="3">
        <v>22794.5</v>
      </c>
      <c r="H193" s="3">
        <v>1179784.6000000001</v>
      </c>
      <c r="I193" t="s">
        <v>30</v>
      </c>
    </row>
    <row r="194" spans="1:9" x14ac:dyDescent="0.25">
      <c r="A194">
        <v>4</v>
      </c>
      <c r="B194" s="1">
        <v>44358.888622685183</v>
      </c>
      <c r="C194" t="str">
        <f>"NEFT IOBAN21162657744 CARGOMAR P LTD IOBA0000102"</f>
        <v>NEFT IOBAN21162657744 CARGOMAR P LTD IOBA0000102</v>
      </c>
      <c r="D194" t="str">
        <f>"NEFTINW-0296041093"</f>
        <v>NEFTINW-0296041093</v>
      </c>
      <c r="E194" s="2">
        <v>44358</v>
      </c>
      <c r="G194" s="3">
        <v>123387</v>
      </c>
      <c r="H194" s="3">
        <v>1303171.6000000001</v>
      </c>
      <c r="I194" t="s">
        <v>30</v>
      </c>
    </row>
    <row r="195" spans="1:9" x14ac:dyDescent="0.25">
      <c r="A195">
        <v>5</v>
      </c>
      <c r="B195" s="1">
        <v>44358.888622685183</v>
      </c>
      <c r="C195" t="str">
        <f>"NEFT IOBAN21162657743 CARGOMAR P LTD IOBA0000102"</f>
        <v>NEFT IOBAN21162657743 CARGOMAR P LTD IOBA0000102</v>
      </c>
      <c r="D195" t="str">
        <f>"NEFTINW-0296041094"</f>
        <v>NEFTINW-0296041094</v>
      </c>
      <c r="E195" s="2">
        <v>44358</v>
      </c>
      <c r="G195" s="3">
        <v>123387</v>
      </c>
      <c r="H195" s="3">
        <v>1426558.6</v>
      </c>
      <c r="I195" t="s">
        <v>30</v>
      </c>
    </row>
    <row r="196" spans="1:9" x14ac:dyDescent="0.25">
      <c r="A196">
        <v>4</v>
      </c>
      <c r="B196" s="1">
        <v>44361.746296296296</v>
      </c>
      <c r="C196" t="str">
        <f>"NEFT FBBT211659354721 CUBES INTERNATIONAL LOGISTI"</f>
        <v>NEFT FBBT211659354721 CUBES INTERNATIONAL LOGISTI</v>
      </c>
      <c r="D196" t="str">
        <f>"NEFTINW-0296431732"</f>
        <v>NEFTINW-0296431732</v>
      </c>
      <c r="E196" s="2">
        <v>44361</v>
      </c>
      <c r="G196" s="3">
        <v>137307</v>
      </c>
      <c r="H196" s="3">
        <v>1563865.6</v>
      </c>
      <c r="I196" t="s">
        <v>30</v>
      </c>
    </row>
    <row r="197" spans="1:9" x14ac:dyDescent="0.25">
      <c r="A197">
        <v>5</v>
      </c>
      <c r="B197" s="1">
        <v>44361.761319444442</v>
      </c>
      <c r="C197" t="str">
        <f>"IB:GOODRICH SOA"</f>
        <v>IB:GOODRICH SOA</v>
      </c>
      <c r="D197" t="str">
        <f>"000217991822"</f>
        <v>000217991822</v>
      </c>
      <c r="E197" s="2">
        <v>44361</v>
      </c>
      <c r="F197" s="3">
        <v>500000</v>
      </c>
      <c r="H197" s="3">
        <v>1063865.6000000001</v>
      </c>
      <c r="I197" t="s">
        <v>30</v>
      </c>
    </row>
    <row r="198" spans="1:9" x14ac:dyDescent="0.25">
      <c r="A198">
        <v>6</v>
      </c>
      <c r="B198" s="1">
        <v>44361.761608796296</v>
      </c>
      <c r="C198" t="str">
        <f>"IB:GOODRICH SOA"</f>
        <v>IB:GOODRICH SOA</v>
      </c>
      <c r="D198" t="str">
        <f>"000217991891"</f>
        <v>000217991891</v>
      </c>
      <c r="E198" s="2">
        <v>44361</v>
      </c>
      <c r="F198" s="3">
        <v>500000</v>
      </c>
      <c r="H198" s="3">
        <v>563865.59999999998</v>
      </c>
      <c r="I198" t="s">
        <v>30</v>
      </c>
    </row>
    <row r="199" spans="1:9" x14ac:dyDescent="0.25">
      <c r="A199">
        <v>4</v>
      </c>
      <c r="B199" s="1">
        <v>44362.563078703701</v>
      </c>
      <c r="C199" t="str">
        <f>"BY CLG INST 1174/31-03-21/ICICI/KOCHI"</f>
        <v>BY CLG INST 1174/31-03-21/ICICI/KOCHI</v>
      </c>
      <c r="D199" t="str">
        <f>""</f>
        <v/>
      </c>
      <c r="E199" s="2">
        <v>44362</v>
      </c>
      <c r="G199" s="3">
        <v>4795</v>
      </c>
      <c r="H199" s="3">
        <v>568660.6</v>
      </c>
      <c r="I199" t="s">
        <v>30</v>
      </c>
    </row>
    <row r="200" spans="1:9" x14ac:dyDescent="0.25">
      <c r="A200">
        <v>5</v>
      </c>
      <c r="B200" s="1">
        <v>44362.704548611109</v>
      </c>
      <c r="C200" t="str">
        <f>"NEFT N166211534555577 INTERGULF SHIPPING LINE PRI"</f>
        <v>NEFT N166211534555577 INTERGULF SHIPPING LINE PRI</v>
      </c>
      <c r="D200" t="str">
        <f>"NEFTINW-0296673845"</f>
        <v>NEFTINW-0296673845</v>
      </c>
      <c r="E200" s="2">
        <v>44362</v>
      </c>
      <c r="G200">
        <v>118</v>
      </c>
      <c r="H200" s="3">
        <v>568778.6</v>
      </c>
      <c r="I200" t="s">
        <v>30</v>
      </c>
    </row>
    <row r="201" spans="1:9" x14ac:dyDescent="0.25">
      <c r="A201">
        <v>3</v>
      </c>
      <c r="B201" s="1">
        <v>44363.679907407408</v>
      </c>
      <c r="C201" t="str">
        <f>"NEFT FBBT211679371278 CUBES INTERNATIONAL LOGISTI"</f>
        <v>NEFT FBBT211679371278 CUBES INTERNATIONAL LOGISTI</v>
      </c>
      <c r="D201" t="str">
        <f>"NEFTINW-0296945648"</f>
        <v>NEFTINW-0296945648</v>
      </c>
      <c r="E201" s="2">
        <v>44363</v>
      </c>
      <c r="G201" s="3">
        <v>126654</v>
      </c>
      <c r="H201" s="3">
        <v>695432.6</v>
      </c>
      <c r="I201" t="s">
        <v>30</v>
      </c>
    </row>
    <row r="202" spans="1:9" x14ac:dyDescent="0.25">
      <c r="A202">
        <v>4</v>
      </c>
      <c r="B202" s="1">
        <v>44363.702361111114</v>
      </c>
      <c r="C202" t="str">
        <f>"NEFT N167211535739056 TLPL INTEGRATED SHIPPING SE"</f>
        <v>NEFT N167211535739056 TLPL INTEGRATED SHIPPING SE</v>
      </c>
      <c r="D202" t="str">
        <f>"NEFTINW-0296958740"</f>
        <v>NEFTINW-0296958740</v>
      </c>
      <c r="E202" s="2">
        <v>44363</v>
      </c>
      <c r="G202" s="3">
        <v>25000</v>
      </c>
      <c r="H202" s="3">
        <v>720432.6</v>
      </c>
      <c r="I202" t="s">
        <v>30</v>
      </c>
    </row>
    <row r="203" spans="1:9" x14ac:dyDescent="0.25">
      <c r="A203">
        <v>5</v>
      </c>
      <c r="B203" s="1">
        <v>44363.72278935185</v>
      </c>
      <c r="C203" t="str">
        <f>"NEFT 061601384GN00010 SCHENKER INDIA PRIVATE LIMI"</f>
        <v>NEFT 061601384GN00010 SCHENKER INDIA PRIVATE LIMI</v>
      </c>
      <c r="D203" t="str">
        <f>"NEFTINW-0296975961"</f>
        <v>NEFTINW-0296975961</v>
      </c>
      <c r="E203" s="2">
        <v>44363</v>
      </c>
      <c r="G203" s="3">
        <v>11326.88</v>
      </c>
      <c r="H203" s="3">
        <v>731759.48</v>
      </c>
      <c r="I203" t="s">
        <v>30</v>
      </c>
    </row>
    <row r="204" spans="1:9" x14ac:dyDescent="0.25">
      <c r="A204">
        <v>4</v>
      </c>
      <c r="B204" s="1">
        <v>44364.521226851852</v>
      </c>
      <c r="C204" t="str">
        <f>"MB DATA CHAMBER                  Ref 116812967195"</f>
        <v>MB DATA CHAMBER                  Ref 116812967195</v>
      </c>
      <c r="D204" t="str">
        <f>"IMPS-116812967200"</f>
        <v>IMPS-116812967200</v>
      </c>
      <c r="E204" s="2">
        <v>44364</v>
      </c>
      <c r="F204" s="4">
        <v>2000</v>
      </c>
      <c r="H204" s="3">
        <v>729759.48</v>
      </c>
      <c r="I204" t="s">
        <v>30</v>
      </c>
    </row>
    <row r="205" spans="1:9" x14ac:dyDescent="0.25">
      <c r="A205">
        <v>5</v>
      </c>
      <c r="B205" s="1">
        <v>44364.526331018518</v>
      </c>
      <c r="C205" t="str">
        <f>"MB SECURITY REFUND               Ref 116812977463"</f>
        <v>MB SECURITY REFUND               Ref 116812977463</v>
      </c>
      <c r="D205" t="str">
        <f>"IMPS-116812977464"</f>
        <v>IMPS-116812977464</v>
      </c>
      <c r="E205" s="2">
        <v>44364</v>
      </c>
      <c r="F205" s="3">
        <v>25000</v>
      </c>
      <c r="H205" s="3">
        <v>704759.48</v>
      </c>
      <c r="I205" t="s">
        <v>30</v>
      </c>
    </row>
    <row r="206" spans="1:9" x14ac:dyDescent="0.25">
      <c r="A206">
        <v>6</v>
      </c>
      <c r="B206" s="1">
        <v>44364.713206018518</v>
      </c>
      <c r="C206" t="str">
        <f>"IB   HDFC                        Ref 116817279634"</f>
        <v>IB   HDFC                        Ref 116817279634</v>
      </c>
      <c r="D206" t="str">
        <f>"IMPS-116817279568"</f>
        <v>IMPS-116817279568</v>
      </c>
      <c r="E206" s="2">
        <v>44364</v>
      </c>
      <c r="F206" s="4">
        <v>60000</v>
      </c>
      <c r="H206" s="3">
        <v>644759.48</v>
      </c>
      <c r="I206" t="s">
        <v>30</v>
      </c>
    </row>
    <row r="207" spans="1:9" x14ac:dyDescent="0.25">
      <c r="A207">
        <v>4</v>
      </c>
      <c r="B207" s="1">
        <v>44365.461006944446</v>
      </c>
      <c r="C207" t="str">
        <f>"MB EPFO                          Ref 116911826972"</f>
        <v>MB EPFO                          Ref 116911826972</v>
      </c>
      <c r="D207" t="str">
        <f>"IMPS-116911826973"</f>
        <v>IMPS-116911826973</v>
      </c>
      <c r="E207" s="2">
        <v>44365</v>
      </c>
      <c r="F207" s="3">
        <v>15677</v>
      </c>
      <c r="H207" s="3">
        <v>629082.48</v>
      </c>
      <c r="I207" t="s">
        <v>30</v>
      </c>
    </row>
    <row r="208" spans="1:9" x14ac:dyDescent="0.25">
      <c r="A208">
        <v>5</v>
      </c>
      <c r="B208" s="1">
        <v>44365.707997685182</v>
      </c>
      <c r="C208" t="str">
        <f>"NEFT SIN13876Q0094834 M S EXPO FREIGHT PVT SCBL00"</f>
        <v>NEFT SIN13876Q0094834 M S EXPO FREIGHT PVT SCBL00</v>
      </c>
      <c r="D208" t="str">
        <f>"NEFTINW-0297468682"</f>
        <v>NEFTINW-0297468682</v>
      </c>
      <c r="E208" s="2">
        <v>44365</v>
      </c>
      <c r="G208" s="3">
        <v>26466</v>
      </c>
      <c r="H208" s="3">
        <v>655548.48</v>
      </c>
      <c r="I208" t="s">
        <v>30</v>
      </c>
    </row>
    <row r="209" spans="1:9" x14ac:dyDescent="0.25">
      <c r="A209">
        <v>6</v>
      </c>
      <c r="B209" s="1">
        <v>44365.767256944448</v>
      </c>
      <c r="C209" t="str">
        <f>"NEFT 061801405GN00018 SCHENKER INDIA PRIVATE LIMI"</f>
        <v>NEFT 061801405GN00018 SCHENKER INDIA PRIVATE LIMI</v>
      </c>
      <c r="D209" t="str">
        <f>"NEFTINW-0297518622"</f>
        <v>NEFTINW-0297518622</v>
      </c>
      <c r="E209" s="2">
        <v>44365</v>
      </c>
      <c r="G209" s="3">
        <v>120512.2</v>
      </c>
      <c r="H209" s="3">
        <v>776060.68</v>
      </c>
      <c r="I209" t="s">
        <v>30</v>
      </c>
    </row>
    <row r="210" spans="1:9" x14ac:dyDescent="0.25">
      <c r="A210">
        <v>7</v>
      </c>
      <c r="B210" s="1">
        <v>44366.723668981482</v>
      </c>
      <c r="C210" t="str">
        <f>"IB   HDFC                        Ref 117017159864"</f>
        <v>IB   HDFC                        Ref 117017159864</v>
      </c>
      <c r="D210" t="str">
        <f>"IMPS-117017159865"</f>
        <v>IMPS-117017159865</v>
      </c>
      <c r="E210" s="2">
        <v>44366</v>
      </c>
      <c r="F210" s="4">
        <v>20000</v>
      </c>
      <c r="H210" s="3">
        <v>756060.68</v>
      </c>
      <c r="I210" t="s">
        <v>30</v>
      </c>
    </row>
    <row r="211" spans="1:9" x14ac:dyDescent="0.25">
      <c r="A211">
        <v>2</v>
      </c>
      <c r="B211" s="1">
        <v>44368.468993055554</v>
      </c>
      <c r="C211" t="str">
        <f>"NEFT FBBT211729409756 CUBES INTERNATIONAL LOGISTI"</f>
        <v>NEFT FBBT211729409756 CUBES INTERNATIONAL LOGISTI</v>
      </c>
      <c r="D211" t="str">
        <f>"NEFTINW-0297813071"</f>
        <v>NEFTINW-0297813071</v>
      </c>
      <c r="E211" s="2">
        <v>44368</v>
      </c>
      <c r="G211" s="3">
        <v>126650</v>
      </c>
      <c r="H211" s="3">
        <v>882710.68</v>
      </c>
      <c r="I211" t="s">
        <v>30</v>
      </c>
    </row>
    <row r="212" spans="1:9" x14ac:dyDescent="0.25">
      <c r="A212">
        <v>3</v>
      </c>
      <c r="B212" s="1">
        <v>44368.716296296298</v>
      </c>
      <c r="C212" t="str">
        <f>"MB HDFC                          Ref 117217800888"</f>
        <v>MB HDFC                          Ref 117217800888</v>
      </c>
      <c r="D212" t="str">
        <f>"IMPS-117217800945"</f>
        <v>IMPS-117217800945</v>
      </c>
      <c r="E212" s="2">
        <v>44368</v>
      </c>
      <c r="F212" s="4">
        <v>30000</v>
      </c>
      <c r="H212" s="3">
        <v>852710.68</v>
      </c>
      <c r="I212" t="s">
        <v>30</v>
      </c>
    </row>
    <row r="213" spans="1:9" x14ac:dyDescent="0.25">
      <c r="A213">
        <v>4</v>
      </c>
      <c r="B213" s="1">
        <v>44368.840624999997</v>
      </c>
      <c r="C213" t="str">
        <f>"MB BOB 23                        Ref 117220994931"</f>
        <v>MB BOB 23                        Ref 117220994931</v>
      </c>
      <c r="D213" t="str">
        <f>"IMPS-117220994933"</f>
        <v>IMPS-117220994933</v>
      </c>
      <c r="E213" s="2">
        <v>44368</v>
      </c>
      <c r="F213" s="3">
        <v>95000</v>
      </c>
      <c r="H213" s="3">
        <v>757710.68</v>
      </c>
      <c r="I213" t="s">
        <v>30</v>
      </c>
    </row>
    <row r="214" spans="1:9" x14ac:dyDescent="0.25">
      <c r="A214">
        <v>5</v>
      </c>
      <c r="B214" s="1">
        <v>44369.327847222223</v>
      </c>
      <c r="C214" t="str">
        <f>"IB   HDFC                        Ref 117307205950"</f>
        <v>IB   HDFC                        Ref 117307205950</v>
      </c>
      <c r="D214" t="str">
        <f>"IMPS-117307205951"</f>
        <v>IMPS-117307205951</v>
      </c>
      <c r="E214" s="2">
        <v>44369</v>
      </c>
      <c r="F214" s="4">
        <v>60000</v>
      </c>
      <c r="H214" s="3">
        <v>697710.68</v>
      </c>
      <c r="I214" t="s">
        <v>30</v>
      </c>
    </row>
    <row r="215" spans="1:9" x14ac:dyDescent="0.25">
      <c r="A215">
        <v>2</v>
      </c>
      <c r="B215" s="1">
        <v>44369.711145833331</v>
      </c>
      <c r="C215" t="str">
        <f>"NEFT SBIN421173582686 UNITED SEAFOODS SBIN0004063"</f>
        <v>NEFT SBIN421173582686 UNITED SEAFOODS SBIN0004063</v>
      </c>
      <c r="D215" t="str">
        <f>"NEFTINW-0298183665"</f>
        <v>NEFTINW-0298183665</v>
      </c>
      <c r="E215" s="2">
        <v>44369</v>
      </c>
      <c r="G215" s="3">
        <v>9497</v>
      </c>
      <c r="H215" s="3">
        <v>707207.68000000005</v>
      </c>
      <c r="I215" t="s">
        <v>30</v>
      </c>
    </row>
    <row r="216" spans="1:9" x14ac:dyDescent="0.25">
      <c r="A216">
        <v>3</v>
      </c>
      <c r="B216" s="1">
        <v>44370.363969907405</v>
      </c>
      <c r="C216" t="str">
        <f>"IB   HDFC                        Ref 117408223145"</f>
        <v>IB   HDFC                        Ref 117408223145</v>
      </c>
      <c r="D216" t="str">
        <f>"IMPS-117408223146"</f>
        <v>IMPS-117408223146</v>
      </c>
      <c r="E216" s="2">
        <v>44370</v>
      </c>
      <c r="F216" s="4">
        <v>40000</v>
      </c>
      <c r="H216" s="3">
        <v>667207.68000000005</v>
      </c>
      <c r="I216" t="s">
        <v>30</v>
      </c>
    </row>
    <row r="217" spans="1:9" x14ac:dyDescent="0.25">
      <c r="A217">
        <v>7</v>
      </c>
      <c r="B217" s="1">
        <v>44370.665717592594</v>
      </c>
      <c r="C217" t="str">
        <f>"NEFT AXIC211749009237 OCEANAIR LOGISTICS UTIB0004"</f>
        <v>NEFT AXIC211749009237 OCEANAIR LOGISTICS UTIB0004</v>
      </c>
      <c r="D217" t="str">
        <f>"NEFTINW-0298409903"</f>
        <v>NEFTINW-0298409903</v>
      </c>
      <c r="E217" s="2">
        <v>44370</v>
      </c>
      <c r="G217" s="3">
        <v>3830.88</v>
      </c>
      <c r="H217" s="3">
        <v>671038.56000000006</v>
      </c>
      <c r="I217" t="s">
        <v>30</v>
      </c>
    </row>
    <row r="218" spans="1:9" x14ac:dyDescent="0.25">
      <c r="A218">
        <v>8</v>
      </c>
      <c r="B218" s="1">
        <v>44370.870173611111</v>
      </c>
      <c r="C218" t="str">
        <f>"NEFT AXIC211749224199 FEROKE BOARDS LIMITED UTIB0"</f>
        <v>NEFT AXIC211749224199 FEROKE BOARDS LIMITED UTIB0</v>
      </c>
      <c r="D218" t="str">
        <f>"NEFTINW-0298512769"</f>
        <v>NEFTINW-0298512769</v>
      </c>
      <c r="E218" s="2">
        <v>44370</v>
      </c>
      <c r="G218" s="3">
        <v>8367.56</v>
      </c>
      <c r="H218" s="3">
        <v>679406.12</v>
      </c>
      <c r="I218" t="s">
        <v>30</v>
      </c>
    </row>
    <row r="219" spans="1:9" x14ac:dyDescent="0.25">
      <c r="A219">
        <v>9</v>
      </c>
      <c r="B219" s="1">
        <v>44371.370636574073</v>
      </c>
      <c r="C219" t="str">
        <f>"IB   HDFC                        Ref 117508239241"</f>
        <v>IB   HDFC                        Ref 117508239241</v>
      </c>
      <c r="D219" t="str">
        <f>"IMPS-117508239242"</f>
        <v>IMPS-117508239242</v>
      </c>
      <c r="E219" s="2">
        <v>44371</v>
      </c>
      <c r="F219" s="4">
        <v>1500</v>
      </c>
      <c r="H219" s="3">
        <v>677906.12</v>
      </c>
      <c r="I219" t="s">
        <v>30</v>
      </c>
    </row>
    <row r="220" spans="1:9" x14ac:dyDescent="0.25">
      <c r="A220">
        <v>2</v>
      </c>
      <c r="B220" s="1">
        <v>44371.494675925926</v>
      </c>
      <c r="C220" t="str">
        <f>"NEFT FBBT211759438407 CUBES INTERNATIONAL LOGISTI"</f>
        <v>NEFT FBBT211759438407 CUBES INTERNATIONAL LOGISTI</v>
      </c>
      <c r="D220" t="str">
        <f>"NEFTINW-0298586811"</f>
        <v>NEFTINW-0298586811</v>
      </c>
      <c r="E220" s="2">
        <v>44371</v>
      </c>
      <c r="G220" s="3">
        <v>126560</v>
      </c>
      <c r="H220" s="3">
        <v>804466.12</v>
      </c>
      <c r="I220" t="s">
        <v>30</v>
      </c>
    </row>
    <row r="221" spans="1:9" x14ac:dyDescent="0.25">
      <c r="A221">
        <v>3</v>
      </c>
      <c r="B221" s="1">
        <v>44372.529085648152</v>
      </c>
      <c r="C221" t="str">
        <f>"Sent RTGS KKBKR52021062500624668/ENTRYWAY SHI"</f>
        <v>Sent RTGS KKBKR52021062500624668/ENTRYWAY SHI</v>
      </c>
      <c r="D221" t="str">
        <f>"155"</f>
        <v>155</v>
      </c>
      <c r="E221" s="2">
        <v>44372</v>
      </c>
      <c r="F221" s="3">
        <v>224590</v>
      </c>
      <c r="H221" s="3">
        <v>579876.12</v>
      </c>
      <c r="I221" t="s">
        <v>30</v>
      </c>
    </row>
    <row r="222" spans="1:9" x14ac:dyDescent="0.25">
      <c r="A222">
        <v>4</v>
      </c>
      <c r="B222" s="1">
        <v>44372.64640046296</v>
      </c>
      <c r="C222" t="str">
        <f>"NEFT IOBAN21176079090 ISLAND SHIPPING AGENCIES IO"</f>
        <v>NEFT IOBAN21176079090 ISLAND SHIPPING AGENCIES IO</v>
      </c>
      <c r="D222" t="str">
        <f>"NEFTINW-0298911571"</f>
        <v>NEFTINW-0298911571</v>
      </c>
      <c r="E222" s="2">
        <v>44372</v>
      </c>
      <c r="F222" s="5"/>
      <c r="G222" s="3">
        <v>72256</v>
      </c>
      <c r="H222" s="3">
        <v>652132.12</v>
      </c>
      <c r="I222" t="s">
        <v>30</v>
      </c>
    </row>
    <row r="223" spans="1:9" x14ac:dyDescent="0.25">
      <c r="A223">
        <v>5</v>
      </c>
      <c r="B223" s="1">
        <v>44372.670428240737</v>
      </c>
      <c r="C223" t="str">
        <f>"MB HDFC                          Ref 117616667820"</f>
        <v>MB HDFC                          Ref 117616667820</v>
      </c>
      <c r="D223" t="str">
        <f>"IMPS-117616667822"</f>
        <v>IMPS-117616667822</v>
      </c>
      <c r="E223" s="2">
        <v>44372</v>
      </c>
      <c r="F223" s="4">
        <v>20000</v>
      </c>
      <c r="H223" s="3">
        <v>632132.12</v>
      </c>
      <c r="I223" t="s">
        <v>30</v>
      </c>
    </row>
    <row r="224" spans="1:9" x14ac:dyDescent="0.25">
      <c r="A224">
        <v>4</v>
      </c>
      <c r="B224" s="1">
        <v>44376.419872685183</v>
      </c>
      <c r="C224" t="str">
        <f>"IB   HDFC                        Ref 118010726239"</f>
        <v>IB   HDFC                        Ref 118010726239</v>
      </c>
      <c r="D224" t="str">
        <f>"IMPS-118010726162"</f>
        <v>IMPS-118010726162</v>
      </c>
      <c r="E224" s="2">
        <v>44376</v>
      </c>
      <c r="F224" s="4">
        <v>45000</v>
      </c>
      <c r="H224" s="3">
        <v>587132.12</v>
      </c>
      <c r="I224" t="s">
        <v>30</v>
      </c>
    </row>
    <row r="225" spans="1:9" x14ac:dyDescent="0.25">
      <c r="A225">
        <v>2</v>
      </c>
      <c r="B225" s="1">
        <v>44376.673043981478</v>
      </c>
      <c r="C225" t="str">
        <f>"NEFT 24434704111DC GOODRICH MARITIME PV ICIC0SF00"</f>
        <v>NEFT 24434704111DC GOODRICH MARITIME PV ICIC0SF00</v>
      </c>
      <c r="D225" t="str">
        <f>"NEFTINW-0299654257"</f>
        <v>NEFTINW-0299654257</v>
      </c>
      <c r="E225" s="2">
        <v>44376</v>
      </c>
      <c r="G225" s="3">
        <v>181643.06</v>
      </c>
      <c r="H225" s="3">
        <v>768775.18</v>
      </c>
      <c r="I225" t="s">
        <v>30</v>
      </c>
    </row>
    <row r="226" spans="1:9" x14ac:dyDescent="0.25">
      <c r="A226">
        <v>3</v>
      </c>
      <c r="B226" s="1">
        <v>44376.730405092596</v>
      </c>
      <c r="C226" t="str">
        <f>"MB:SCOOTER INSURANCE"</f>
        <v>MB:SCOOTER INSURANCE</v>
      </c>
      <c r="D226" t="str">
        <f>"MB-999252800957"</f>
        <v>MB-999252800957</v>
      </c>
      <c r="E226" s="2">
        <v>44376</v>
      </c>
      <c r="F226" s="4">
        <v>2152</v>
      </c>
      <c r="H226" s="3">
        <v>766623.18</v>
      </c>
      <c r="I226" t="s">
        <v>30</v>
      </c>
    </row>
    <row r="227" spans="1:9" x14ac:dyDescent="0.25">
      <c r="A227">
        <v>4</v>
      </c>
      <c r="B227" s="1">
        <v>44377.463935185187</v>
      </c>
      <c r="C227" t="str">
        <f>"MB TO BOB 23                     Ref 118111934605"</f>
        <v>MB TO BOB 23                     Ref 118111934605</v>
      </c>
      <c r="D227" t="str">
        <f>"IMPS-118111934538"</f>
        <v>IMPS-118111934538</v>
      </c>
      <c r="E227" s="2">
        <v>44377</v>
      </c>
      <c r="F227" s="4">
        <v>10000</v>
      </c>
      <c r="H227" s="3">
        <v>756623.18</v>
      </c>
      <c r="I227" t="s">
        <v>30</v>
      </c>
    </row>
    <row r="228" spans="1:9" x14ac:dyDescent="0.25">
      <c r="A228">
        <v>5</v>
      </c>
      <c r="B228" s="1">
        <v>44377.540486111109</v>
      </c>
      <c r="C228" t="str">
        <f>"CAROL PETROL"</f>
        <v>CAROL PETROL</v>
      </c>
      <c r="D228" t="str">
        <f>"IB"</f>
        <v>IB</v>
      </c>
      <c r="E228" s="2">
        <v>44377</v>
      </c>
      <c r="F228" s="4">
        <v>2500</v>
      </c>
      <c r="H228" s="3">
        <v>754123.18</v>
      </c>
      <c r="I228" t="s">
        <v>30</v>
      </c>
    </row>
    <row r="229" spans="1:9" x14ac:dyDescent="0.25">
      <c r="A229">
        <v>6</v>
      </c>
      <c r="B229" s="1">
        <v>44377.541226851848</v>
      </c>
      <c r="C229" t="str">
        <f>"HARI REPAID"</f>
        <v>HARI REPAID</v>
      </c>
      <c r="D229" t="str">
        <f>"IB"</f>
        <v>IB</v>
      </c>
      <c r="E229" s="2">
        <v>44377</v>
      </c>
      <c r="F229" s="4">
        <v>30960</v>
      </c>
      <c r="H229" s="3">
        <v>723163.18</v>
      </c>
      <c r="I229" t="s">
        <v>30</v>
      </c>
    </row>
    <row r="230" spans="1:9" x14ac:dyDescent="0.25">
      <c r="A230">
        <v>7</v>
      </c>
      <c r="B230" s="1">
        <v>44377.54277777778</v>
      </c>
      <c r="C230" t="str">
        <f>"MB ASWIN STIPEND                 Ref 118113110388"</f>
        <v>MB ASWIN STIPEND                 Ref 118113110388</v>
      </c>
      <c r="D230" t="str">
        <f>"IMPS-118113110493"</f>
        <v>IMPS-118113110493</v>
      </c>
      <c r="E230" s="2">
        <v>44377</v>
      </c>
      <c r="F230" s="4">
        <v>10000</v>
      </c>
      <c r="H230" s="3">
        <v>713163.18</v>
      </c>
      <c r="I230" t="s">
        <v>30</v>
      </c>
    </row>
    <row r="231" spans="1:9" x14ac:dyDescent="0.25">
      <c r="A231">
        <v>8</v>
      </c>
      <c r="B231" s="1">
        <v>44377.543298611112</v>
      </c>
      <c r="C231" t="str">
        <f>"MB NIMAL STIPEND                 Ref 118113111656"</f>
        <v>MB NIMAL STIPEND                 Ref 118113111656</v>
      </c>
      <c r="D231" t="str">
        <f>"IMPS-118113111463"</f>
        <v>IMPS-118113111463</v>
      </c>
      <c r="E231" s="2">
        <v>44377</v>
      </c>
      <c r="F231" s="4">
        <v>10000</v>
      </c>
      <c r="H231" s="3">
        <v>703163.18</v>
      </c>
      <c r="I231" t="s">
        <v>30</v>
      </c>
    </row>
    <row r="232" spans="1:9" x14ac:dyDescent="0.25">
      <c r="A232">
        <v>9</v>
      </c>
      <c r="B232" s="1">
        <v>44377.660127314812</v>
      </c>
      <c r="C232" t="str">
        <f>"CASH WITHDRAWAL BYNIMAL JAMES AT ERNAKULAMBRANCH"</f>
        <v>CASH WITHDRAWAL BYNIMAL JAMES AT ERNAKULAMBRANCH</v>
      </c>
      <c r="D232" t="str">
        <f>"157"</f>
        <v>157</v>
      </c>
      <c r="E232" s="2">
        <v>44377</v>
      </c>
      <c r="F232" s="4">
        <v>15000</v>
      </c>
      <c r="H232" s="3">
        <v>688163.18</v>
      </c>
      <c r="I232" t="s">
        <v>30</v>
      </c>
    </row>
    <row r="233" spans="1:9" x14ac:dyDescent="0.25">
      <c r="A233">
        <v>10</v>
      </c>
      <c r="B233" s="1">
        <v>44377.689166666663</v>
      </c>
      <c r="C233" t="str">
        <f>"FUND TFR FOR SALARY"</f>
        <v>FUND TFR FOR SALARY</v>
      </c>
      <c r="D233" t="str">
        <f>"156"</f>
        <v>156</v>
      </c>
      <c r="E233" s="2">
        <v>44377</v>
      </c>
      <c r="F233" s="3">
        <v>83684</v>
      </c>
      <c r="H233" s="3">
        <v>604479.18000000005</v>
      </c>
      <c r="I233" t="s">
        <v>30</v>
      </c>
    </row>
    <row r="234" spans="1:9" x14ac:dyDescent="0.25">
      <c r="A234">
        <v>11</v>
      </c>
      <c r="B234" s="1">
        <v>44377.70244212963</v>
      </c>
      <c r="C234" t="str">
        <f>"NEFT SBIN121181263033 UNITED SEAFOODS SBIN0004063"</f>
        <v>NEFT SBIN121181263033 UNITED SEAFOODS SBIN0004063</v>
      </c>
      <c r="D234" t="str">
        <f>"NEFTINW-0300126716"</f>
        <v>NEFTINW-0300126716</v>
      </c>
      <c r="E234" s="2">
        <v>44377</v>
      </c>
      <c r="G234" s="3">
        <v>84995.4</v>
      </c>
      <c r="H234" s="3">
        <v>689474.58</v>
      </c>
      <c r="I234" t="s">
        <v>30</v>
      </c>
    </row>
    <row r="235" spans="1:9" x14ac:dyDescent="0.25">
      <c r="A235">
        <v>12</v>
      </c>
      <c r="B235" s="1">
        <v>44377.796747685185</v>
      </c>
      <c r="C235" t="str">
        <f>"MB:LENIA REPAIR"</f>
        <v>MB:LENIA REPAIR</v>
      </c>
      <c r="D235" t="str">
        <f>"MB-999252196184"</f>
        <v>MB-999252196184</v>
      </c>
      <c r="E235" s="2">
        <v>44377</v>
      </c>
      <c r="F235" s="4">
        <v>1473</v>
      </c>
      <c r="H235" s="3">
        <v>688001.58</v>
      </c>
      <c r="I235" t="s">
        <v>30</v>
      </c>
    </row>
    <row r="236" spans="1:9" ht="15.6" customHeight="1" x14ac:dyDescent="0.25">
      <c r="A236">
        <v>13</v>
      </c>
      <c r="B236" s="1">
        <v>44378.438449074078</v>
      </c>
      <c r="C236" t="str">
        <f>"IB   HDFC                        Ref 118210189296"</f>
        <v>IB   HDFC                        Ref 118210189296</v>
      </c>
      <c r="D236" t="str">
        <f>"IMPS-118210189297"</f>
        <v>IMPS-118210189297</v>
      </c>
      <c r="E236" s="2">
        <v>44378</v>
      </c>
      <c r="F236" s="4">
        <v>40000</v>
      </c>
      <c r="H236" s="3">
        <v>648001.57999999996</v>
      </c>
      <c r="I236" t="s">
        <v>30</v>
      </c>
    </row>
    <row r="237" spans="1:9" x14ac:dyDescent="0.25">
      <c r="A237">
        <v>2</v>
      </c>
      <c r="B237" s="1">
        <v>44378.634930555556</v>
      </c>
      <c r="C237" t="str">
        <f>"NEFT IOBAN21182699860 ISLAND SHIPPING AGENCIES IO"</f>
        <v>NEFT IOBAN21182699860 ISLAND SHIPPING AGENCIES IO</v>
      </c>
      <c r="D237" t="str">
        <f>"NEFTINW-0300475261"</f>
        <v>NEFTINW-0300475261</v>
      </c>
      <c r="E237" s="2">
        <v>44378</v>
      </c>
      <c r="G237" s="3">
        <v>83153</v>
      </c>
      <c r="H237" s="3">
        <v>731154.58</v>
      </c>
      <c r="I237" t="s">
        <v>30</v>
      </c>
    </row>
    <row r="238" spans="1:9" x14ac:dyDescent="0.25">
      <c r="A238">
        <v>3</v>
      </c>
      <c r="B238" s="1">
        <v>44379.44190972222</v>
      </c>
      <c r="C238" t="str">
        <f>"IB   HDFC                        Ref 118310587990"</f>
        <v>IB   HDFC                        Ref 118310587990</v>
      </c>
      <c r="D238" t="str">
        <f>"IMPS-118310588086"</f>
        <v>IMPS-118310588086</v>
      </c>
      <c r="E238" s="2">
        <v>44379</v>
      </c>
      <c r="F238" s="4">
        <v>3000</v>
      </c>
      <c r="H238" s="3">
        <v>728154.58</v>
      </c>
      <c r="I238" t="s">
        <v>30</v>
      </c>
    </row>
    <row r="239" spans="1:9" x14ac:dyDescent="0.25">
      <c r="A239">
        <v>4</v>
      </c>
      <c r="B239" s="1">
        <v>44379.442303240743</v>
      </c>
      <c r="C239" t="str">
        <f>"IB   RENT GANDHI                 Ref 118310589005"</f>
        <v>IB   RENT GANDHI                 Ref 118310589005</v>
      </c>
      <c r="D239" t="str">
        <f>"IMPS-118310589006"</f>
        <v>IMPS-118310589006</v>
      </c>
      <c r="E239" s="2">
        <v>44379</v>
      </c>
      <c r="F239" s="4">
        <v>6500</v>
      </c>
      <c r="H239" s="3">
        <v>721654.58</v>
      </c>
      <c r="I239" t="s">
        <v>30</v>
      </c>
    </row>
    <row r="240" spans="1:9" x14ac:dyDescent="0.25">
      <c r="A240">
        <v>5</v>
      </c>
      <c r="B240" s="1">
        <v>44379.442928240744</v>
      </c>
      <c r="C240" t="str">
        <f>"VINU COVID"</f>
        <v>VINU COVID</v>
      </c>
      <c r="D240" t="str">
        <f>"IB"</f>
        <v>IB</v>
      </c>
      <c r="E240" s="2">
        <v>44379</v>
      </c>
      <c r="F240" s="5">
        <v>780</v>
      </c>
      <c r="H240" s="3">
        <v>720874.58</v>
      </c>
      <c r="I240" t="s">
        <v>30</v>
      </c>
    </row>
    <row r="241" spans="1:9" x14ac:dyDescent="0.25">
      <c r="A241">
        <v>6</v>
      </c>
      <c r="B241" s="1">
        <v>44379.443298611113</v>
      </c>
      <c r="C241" t="str">
        <f>"VISHNU COVID"</f>
        <v>VISHNU COVID</v>
      </c>
      <c r="D241" t="str">
        <f>"IB"</f>
        <v>IB</v>
      </c>
      <c r="E241" s="2">
        <v>44379</v>
      </c>
      <c r="F241" s="4">
        <v>1800</v>
      </c>
      <c r="H241" s="3">
        <v>719074.58</v>
      </c>
      <c r="I241" t="s">
        <v>30</v>
      </c>
    </row>
    <row r="242" spans="1:9" x14ac:dyDescent="0.25">
      <c r="A242">
        <v>7</v>
      </c>
      <c r="B242" s="1">
        <v>44380.386550925927</v>
      </c>
      <c r="C242" t="str">
        <f>"IB   HDFC                        Ref 118409766171"</f>
        <v>IB   HDFC                        Ref 118409766171</v>
      </c>
      <c r="D242" t="str">
        <f>"IMPS-118409766278"</f>
        <v>IMPS-118409766278</v>
      </c>
      <c r="E242" s="2">
        <v>44380</v>
      </c>
      <c r="F242" s="4">
        <v>60000</v>
      </c>
      <c r="H242" s="3">
        <v>659074.57999999996</v>
      </c>
      <c r="I242" t="s">
        <v>30</v>
      </c>
    </row>
    <row r="243" spans="1:9" x14ac:dyDescent="0.25">
      <c r="A243">
        <v>2</v>
      </c>
      <c r="B243" s="1">
        <v>44381.91369212963</v>
      </c>
      <c r="C243" t="str">
        <f>"OS ASIANET ABB 1488311193"</f>
        <v>OS ASIANET ABB 1488311193</v>
      </c>
      <c r="D243" t="str">
        <f>"KPG-0142740223"</f>
        <v>KPG-0142740223</v>
      </c>
      <c r="E243" s="2">
        <v>44381</v>
      </c>
      <c r="F243" s="5">
        <v>831.81</v>
      </c>
      <c r="H243" s="3">
        <v>658242.77</v>
      </c>
      <c r="I243" t="s">
        <v>30</v>
      </c>
    </row>
    <row r="244" spans="1:9" x14ac:dyDescent="0.25">
      <c r="A244">
        <v>3</v>
      </c>
      <c r="B244" s="1">
        <v>44382.625752314816</v>
      </c>
      <c r="C244" t="str">
        <f>"NEFT PUNBH21186948164 SAIT EXIM COMPANY PUNB01701"</f>
        <v>NEFT PUNBH21186948164 SAIT EXIM COMPANY PUNB01701</v>
      </c>
      <c r="D244" t="str">
        <f>"NEFTINW-0301377360"</f>
        <v>NEFTINW-0301377360</v>
      </c>
      <c r="E244" s="2">
        <v>44382</v>
      </c>
      <c r="G244" s="3">
        <v>44857.7</v>
      </c>
      <c r="H244" s="3">
        <v>703100.47</v>
      </c>
      <c r="I244" t="s">
        <v>30</v>
      </c>
    </row>
    <row r="245" spans="1:9" x14ac:dyDescent="0.25">
      <c r="A245">
        <v>2</v>
      </c>
      <c r="B245" s="1">
        <v>44383.368587962963</v>
      </c>
      <c r="C245" t="str">
        <f>"MB HDFC                          Ref 118708945736"</f>
        <v>MB HDFC                          Ref 118708945736</v>
      </c>
      <c r="D245" t="str">
        <f>"IMPS-118708945568"</f>
        <v>IMPS-118708945568</v>
      </c>
      <c r="E245" s="2">
        <v>44383</v>
      </c>
      <c r="F245" s="4">
        <v>14000</v>
      </c>
      <c r="H245" s="3">
        <v>689100.47</v>
      </c>
      <c r="I245" t="s">
        <v>30</v>
      </c>
    </row>
    <row r="246" spans="1:9" x14ac:dyDescent="0.25">
      <c r="A246">
        <v>3</v>
      </c>
      <c r="B246" s="1">
        <v>44383.539780092593</v>
      </c>
      <c r="C246" t="str">
        <f>"BY CLG INST 855020/28-06-21/IOB/KOCHI"</f>
        <v>BY CLG INST 855020/28-06-21/IOB/KOCHI</v>
      </c>
      <c r="D246" t="str">
        <f>""</f>
        <v/>
      </c>
      <c r="E246" s="2">
        <v>44383</v>
      </c>
      <c r="G246" s="3">
        <v>161748</v>
      </c>
      <c r="H246" s="3">
        <v>850848.47</v>
      </c>
      <c r="I246" t="s">
        <v>30</v>
      </c>
    </row>
    <row r="247" spans="1:9" x14ac:dyDescent="0.25">
      <c r="A247">
        <v>4</v>
      </c>
      <c r="B247" s="1">
        <v>44383.858414351853</v>
      </c>
      <c r="C247" t="str">
        <f>"NEFT FDRLH21187979832 DGS LOGISTICS AND SHIPPING"</f>
        <v>NEFT FDRLH21187979832 DGS LOGISTICS AND SHIPPING</v>
      </c>
      <c r="D247" t="str">
        <f>"NEFTINW-0301910652"</f>
        <v>NEFTINW-0301910652</v>
      </c>
      <c r="E247" s="2">
        <v>44383</v>
      </c>
      <c r="G247" s="3">
        <v>160687</v>
      </c>
      <c r="H247" s="3">
        <v>1011535.47</v>
      </c>
      <c r="I247" t="s">
        <v>30</v>
      </c>
    </row>
    <row r="248" spans="1:9" x14ac:dyDescent="0.25">
      <c r="A248">
        <v>5</v>
      </c>
      <c r="B248" s="1">
        <v>44384.397650462961</v>
      </c>
      <c r="C248" t="str">
        <f>"NEFT 154239862 V B BALANARAYANAN ICIC0SF0002"</f>
        <v>NEFT 154239862 V B BALANARAYANAN ICIC0SF0002</v>
      </c>
      <c r="D248" t="str">
        <f>"NEFTINW-0301991899"</f>
        <v>NEFTINW-0301991899</v>
      </c>
      <c r="E248" s="2">
        <v>44384</v>
      </c>
      <c r="G248" s="3">
        <v>21257.7</v>
      </c>
      <c r="H248" s="3">
        <v>1032793.17</v>
      </c>
      <c r="I248" t="s">
        <v>30</v>
      </c>
    </row>
    <row r="249" spans="1:9" x14ac:dyDescent="0.25">
      <c r="A249">
        <v>2</v>
      </c>
      <c r="B249" s="1">
        <v>44384.523634259262</v>
      </c>
      <c r="C249" t="str">
        <f>"MB TAXI VENKAT                   Ref 118812351432"</f>
        <v>MB TAXI VENKAT                   Ref 118812351432</v>
      </c>
      <c r="D249" t="str">
        <f>"IMPS-118812351433"</f>
        <v>IMPS-118812351433</v>
      </c>
      <c r="E249" s="2">
        <v>44384</v>
      </c>
      <c r="F249" s="4">
        <v>2175</v>
      </c>
      <c r="H249" s="3">
        <v>1030618.17</v>
      </c>
      <c r="I249" t="s">
        <v>30</v>
      </c>
    </row>
    <row r="250" spans="1:9" x14ac:dyDescent="0.25">
      <c r="A250">
        <v>3</v>
      </c>
      <c r="B250" s="1">
        <v>44384.543564814812</v>
      </c>
      <c r="C250" t="str">
        <f>"BY CLG INST 518739/01-07-21/SBI/KOCHI"</f>
        <v>BY CLG INST 518739/01-07-21/SBI/KOCHI</v>
      </c>
      <c r="D250" t="str">
        <f>""</f>
        <v/>
      </c>
      <c r="E250" s="2">
        <v>44384</v>
      </c>
      <c r="G250" s="3">
        <v>152028</v>
      </c>
      <c r="H250" s="3">
        <v>1182646.17</v>
      </c>
      <c r="I250" t="s">
        <v>30</v>
      </c>
    </row>
    <row r="251" spans="1:9" x14ac:dyDescent="0.25">
      <c r="A251">
        <v>4</v>
      </c>
      <c r="B251" s="1">
        <v>44384.715474537035</v>
      </c>
      <c r="C251" t="str">
        <f>"IB   TO BOB 23                   Ref 118817718380"</f>
        <v>IB   TO BOB 23                   Ref 118817718380</v>
      </c>
      <c r="D251" t="str">
        <f>"IMPS-118817718434"</f>
        <v>IMPS-118817718434</v>
      </c>
      <c r="E251" s="2">
        <v>44384</v>
      </c>
      <c r="F251" s="4">
        <v>20000</v>
      </c>
      <c r="H251" s="3">
        <v>1162646.17</v>
      </c>
      <c r="I251" t="s">
        <v>30</v>
      </c>
    </row>
    <row r="252" spans="1:9" x14ac:dyDescent="0.25">
      <c r="A252">
        <v>5</v>
      </c>
      <c r="B252" s="1">
        <v>44384.71670138889</v>
      </c>
      <c r="C252" t="str">
        <f>"TO 1048"</f>
        <v>TO 1048</v>
      </c>
      <c r="D252" t="str">
        <f>"IB"</f>
        <v>IB</v>
      </c>
      <c r="E252" s="2">
        <v>44384</v>
      </c>
      <c r="F252" s="4">
        <v>100000</v>
      </c>
      <c r="H252" s="3">
        <v>1062646.17</v>
      </c>
      <c r="I252" t="s">
        <v>30</v>
      </c>
    </row>
    <row r="253" spans="1:9" x14ac:dyDescent="0.25">
      <c r="A253">
        <v>6</v>
      </c>
      <c r="B253" s="1">
        <v>44385.335833333331</v>
      </c>
      <c r="C253" t="str">
        <f>"IB   HDFC                        Ref 118908229425"</f>
        <v>IB   HDFC                        Ref 118908229425</v>
      </c>
      <c r="D253" t="str">
        <f>"IMPS-118908229200"</f>
        <v>IMPS-118908229200</v>
      </c>
      <c r="E253" s="2">
        <v>44385</v>
      </c>
      <c r="F253" s="4">
        <v>28000</v>
      </c>
      <c r="H253" s="3">
        <v>1034646.17</v>
      </c>
      <c r="I253" t="s">
        <v>30</v>
      </c>
    </row>
    <row r="254" spans="1:9" x14ac:dyDescent="0.25">
      <c r="A254">
        <v>2</v>
      </c>
      <c r="B254" s="1">
        <v>44385.54519675926</v>
      </c>
      <c r="C254" t="str">
        <f>"NEFT FDRLH21189230655 PROMISE CARGO FDRL0001275"</f>
        <v>NEFT FDRLH21189230655 PROMISE CARGO FDRL0001275</v>
      </c>
      <c r="D254" t="str">
        <f>"NEFTINW-0302446583"</f>
        <v>NEFTINW-0302446583</v>
      </c>
      <c r="E254" s="2">
        <v>44385</v>
      </c>
      <c r="G254" s="3">
        <v>54333</v>
      </c>
      <c r="H254" s="3">
        <v>1088979.17</v>
      </c>
      <c r="I254" t="s">
        <v>30</v>
      </c>
    </row>
    <row r="255" spans="1:9" x14ac:dyDescent="0.25">
      <c r="A255">
        <v>3</v>
      </c>
      <c r="B255" s="1">
        <v>44385.604178240741</v>
      </c>
      <c r="C255" t="str">
        <f>"NEFT 24500490981DC CHAKIAT AGENCIES ICIC0SF0002"</f>
        <v>NEFT 24500490981DC CHAKIAT AGENCIES ICIC0SF0002</v>
      </c>
      <c r="D255" t="str">
        <f>"NEFTINW-0302482593"</f>
        <v>NEFTINW-0302482593</v>
      </c>
      <c r="E255" s="2">
        <v>44385</v>
      </c>
      <c r="G255">
        <v>645</v>
      </c>
      <c r="H255" s="3">
        <v>1089624.17</v>
      </c>
      <c r="I255" t="s">
        <v>30</v>
      </c>
    </row>
    <row r="256" spans="1:9" x14ac:dyDescent="0.25">
      <c r="A256">
        <v>4</v>
      </c>
      <c r="B256" s="1">
        <v>44385.889699074076</v>
      </c>
      <c r="C256" t="str">
        <f>"TO 1048"</f>
        <v>TO 1048</v>
      </c>
      <c r="D256" t="str">
        <f>"IB"</f>
        <v>IB</v>
      </c>
      <c r="E256" s="2">
        <v>44385</v>
      </c>
      <c r="F256" s="4">
        <v>500000</v>
      </c>
      <c r="H256" s="3">
        <v>589624.17000000004</v>
      </c>
      <c r="I256" t="s">
        <v>30</v>
      </c>
    </row>
    <row r="257" spans="1:9" x14ac:dyDescent="0.25">
      <c r="A257">
        <v>5</v>
      </c>
      <c r="B257" s="1">
        <v>44386.235949074071</v>
      </c>
      <c r="C257" t="str">
        <f>"MB:TO 1048"</f>
        <v>MB:TO 1048</v>
      </c>
      <c r="D257" t="str">
        <f>"MB-999247735719"</f>
        <v>MB-999247735719</v>
      </c>
      <c r="E257" s="2">
        <v>44386</v>
      </c>
      <c r="F257" s="4">
        <v>200000</v>
      </c>
      <c r="H257" s="3">
        <v>389624.17</v>
      </c>
      <c r="I257" t="s">
        <v>30</v>
      </c>
    </row>
    <row r="258" spans="1:9" x14ac:dyDescent="0.25">
      <c r="A258">
        <v>6</v>
      </c>
      <c r="B258" s="1">
        <v>44386.271458333336</v>
      </c>
      <c r="C258" t="str">
        <f>"IB   HDFC                        Ref 119006327220"</f>
        <v>IB   HDFC                        Ref 119006327220</v>
      </c>
      <c r="D258" t="str">
        <f>"IMPS-119006327323"</f>
        <v>IMPS-119006327323</v>
      </c>
      <c r="E258" s="2">
        <v>44386</v>
      </c>
      <c r="F258" s="4">
        <v>10000</v>
      </c>
      <c r="H258" s="3">
        <v>379624.17</v>
      </c>
      <c r="I258" t="s">
        <v>30</v>
      </c>
    </row>
    <row r="259" spans="1:9" x14ac:dyDescent="0.25">
      <c r="A259">
        <v>3</v>
      </c>
      <c r="B259" s="1">
        <v>44386.588634259257</v>
      </c>
      <c r="C259" t="str">
        <f>"IB:ENTRYWAY"</f>
        <v>IB:ENTRYWAY</v>
      </c>
      <c r="D259" t="str">
        <f>"000221627875"</f>
        <v>000221627875</v>
      </c>
      <c r="E259" s="2">
        <v>44386</v>
      </c>
      <c r="F259" s="3">
        <v>232406</v>
      </c>
      <c r="H259" s="3">
        <v>147218.17000000001</v>
      </c>
      <c r="I259" t="s">
        <v>30</v>
      </c>
    </row>
    <row r="260" spans="1:9" x14ac:dyDescent="0.25">
      <c r="A260">
        <v>4</v>
      </c>
      <c r="B260" s="1">
        <v>44386.71292824074</v>
      </c>
      <c r="C260" t="str">
        <f>"NEFT 119001164GN00018 SCHENKER INDIA PRIVATE LIMI"</f>
        <v>NEFT 119001164GN00018 SCHENKER INDIA PRIVATE LIMI</v>
      </c>
      <c r="D260" t="str">
        <f>"NEFTINW-0302903244"</f>
        <v>NEFTINW-0302903244</v>
      </c>
      <c r="E260" s="2">
        <v>44386</v>
      </c>
      <c r="G260" s="3">
        <v>32830.28</v>
      </c>
      <c r="H260" s="3">
        <v>180048.45</v>
      </c>
      <c r="I260" t="s">
        <v>30</v>
      </c>
    </row>
    <row r="261" spans="1:9" x14ac:dyDescent="0.25">
      <c r="A261">
        <v>5</v>
      </c>
      <c r="B261" s="1">
        <v>44386.868449074071</v>
      </c>
      <c r="C261" t="str">
        <f>"IB   IGTPL IN VOICES             Ref 119020259322"</f>
        <v>IB   IGTPL IN VOICES             Ref 119020259322</v>
      </c>
      <c r="D261" t="str">
        <f>"IMPS-119020259324"</f>
        <v>IMPS-119020259324</v>
      </c>
      <c r="E261" s="2">
        <v>44386</v>
      </c>
      <c r="F261" s="3">
        <v>101054</v>
      </c>
      <c r="H261" s="3">
        <v>78994.45</v>
      </c>
      <c r="I261" t="s">
        <v>30</v>
      </c>
    </row>
    <row r="262" spans="1:9" x14ac:dyDescent="0.25">
      <c r="A262">
        <v>6</v>
      </c>
      <c r="B262" s="1">
        <v>44386.868449074071</v>
      </c>
      <c r="C262" t="str">
        <f>"REV:IMPS 00200350000565 Ref 119020259322"</f>
        <v>REV:IMPS 00200350000565 Ref 119020259322</v>
      </c>
      <c r="D262" t="str">
        <f>"IMPS-119020259327"</f>
        <v>IMPS-119020259327</v>
      </c>
      <c r="E262" s="2">
        <v>44386</v>
      </c>
      <c r="G262" s="3">
        <v>101054</v>
      </c>
      <c r="H262" s="3">
        <v>180048.45</v>
      </c>
      <c r="I262" t="s">
        <v>30</v>
      </c>
    </row>
    <row r="263" spans="1:9" x14ac:dyDescent="0.25">
      <c r="A263">
        <v>7</v>
      </c>
      <c r="B263" s="1">
        <v>44386.869166666664</v>
      </c>
      <c r="C263" t="str">
        <f>"IB:IGTPL INVOICES"</f>
        <v>IB:IGTPL INVOICES</v>
      </c>
      <c r="D263" t="str">
        <f>"000221729190"</f>
        <v>000221729190</v>
      </c>
      <c r="E263" s="2">
        <v>44386</v>
      </c>
      <c r="F263" s="3">
        <v>101054</v>
      </c>
      <c r="H263" s="3">
        <v>78994.45</v>
      </c>
      <c r="I263" t="s">
        <v>30</v>
      </c>
    </row>
    <row r="264" spans="1:9" x14ac:dyDescent="0.25">
      <c r="A264">
        <v>8</v>
      </c>
      <c r="B264" s="1">
        <v>44387.483449074076</v>
      </c>
      <c r="C264" t="str">
        <f>"IB: FUND TRANSFER FROM SHIPMENT SOLUTIONS PRIVATE"</f>
        <v>IB: FUND TRANSFER FROM SHIPMENT SOLUTIONS PRIVATE</v>
      </c>
      <c r="D264" t="str">
        <f>"IB"</f>
        <v>IB</v>
      </c>
      <c r="E264" s="2">
        <v>44387</v>
      </c>
      <c r="G264" s="4">
        <v>500000</v>
      </c>
      <c r="H264" s="3">
        <v>578994.44999999995</v>
      </c>
      <c r="I264" t="s">
        <v>30</v>
      </c>
    </row>
    <row r="265" spans="1:9" x14ac:dyDescent="0.25">
      <c r="A265">
        <v>9</v>
      </c>
      <c r="B265" s="1">
        <v>44387.486446759256</v>
      </c>
      <c r="C265" t="str">
        <f>"IB:GLPL SOA"</f>
        <v>IB:GLPL SOA</v>
      </c>
      <c r="D265" t="str">
        <f>"000221768590"</f>
        <v>000221768590</v>
      </c>
      <c r="E265" s="2">
        <v>44387</v>
      </c>
      <c r="F265" s="3">
        <v>401835</v>
      </c>
      <c r="H265" s="3">
        <v>177159.45</v>
      </c>
      <c r="I265" t="s">
        <v>30</v>
      </c>
    </row>
    <row r="266" spans="1:9" x14ac:dyDescent="0.25">
      <c r="A266">
        <v>3</v>
      </c>
      <c r="B266" s="1">
        <v>44389.482210648152</v>
      </c>
      <c r="C266" t="str">
        <f>"IB: ETAX EPFONEW 0018428093"</f>
        <v>IB: ETAX EPFONEW 0018428093</v>
      </c>
      <c r="D266" t="str">
        <f>"GBM-0018428093"</f>
        <v>GBM-0018428093</v>
      </c>
      <c r="E266" s="2">
        <v>44389</v>
      </c>
      <c r="F266" s="3">
        <v>15677</v>
      </c>
      <c r="H266" s="3">
        <v>161482.45000000001</v>
      </c>
      <c r="I266" t="s">
        <v>30</v>
      </c>
    </row>
    <row r="267" spans="1:9" x14ac:dyDescent="0.25">
      <c r="A267">
        <v>4</v>
      </c>
      <c r="B267" s="1">
        <v>44389.735613425924</v>
      </c>
      <c r="C267" t="str">
        <f>"IB:BLUE YARD"</f>
        <v>IB:BLUE YARD</v>
      </c>
      <c r="D267" t="str">
        <f>"000222047048"</f>
        <v>000222047048</v>
      </c>
      <c r="E267" s="2">
        <v>44389</v>
      </c>
      <c r="F267" s="3">
        <v>105490</v>
      </c>
      <c r="H267" s="3">
        <v>55992.45</v>
      </c>
      <c r="I267" t="s">
        <v>30</v>
      </c>
    </row>
    <row r="268" spans="1:9" x14ac:dyDescent="0.25">
      <c r="A268">
        <v>5</v>
      </c>
      <c r="B268" s="1">
        <v>44389.822002314817</v>
      </c>
      <c r="C268" t="str">
        <f>"MB:Inv 60197 960"</f>
        <v>MB:Inv 60197 960</v>
      </c>
      <c r="D268" t="str">
        <f>"000222067651"</f>
        <v>000222067651</v>
      </c>
      <c r="E268" s="2">
        <v>44389</v>
      </c>
      <c r="F268" s="3">
        <v>9189</v>
      </c>
      <c r="H268" s="3">
        <v>46803.45</v>
      </c>
      <c r="I268" t="s">
        <v>30</v>
      </c>
    </row>
    <row r="269" spans="1:9" x14ac:dyDescent="0.25">
      <c r="A269">
        <v>4</v>
      </c>
      <c r="B269" s="1">
        <v>44390.762939814813</v>
      </c>
      <c r="C269" t="str">
        <f>"IB: FUND TRANSFER FROM SHIPMENT SOLUTIONS PRIVATE"</f>
        <v>IB: FUND TRANSFER FROM SHIPMENT SOLUTIONS PRIVATE</v>
      </c>
      <c r="D269" t="str">
        <f>"IB"</f>
        <v>IB</v>
      </c>
      <c r="E269" s="2">
        <v>44390</v>
      </c>
      <c r="G269" s="4">
        <v>200000</v>
      </c>
      <c r="H269" s="3">
        <v>246803.45</v>
      </c>
      <c r="I269" t="s">
        <v>30</v>
      </c>
    </row>
    <row r="270" spans="1:9" x14ac:dyDescent="0.25">
      <c r="A270">
        <v>2</v>
      </c>
      <c r="B270" s="1">
        <v>44390.930127314816</v>
      </c>
      <c r="C270" t="str">
        <f>"SIBIN"</f>
        <v>SIBIN</v>
      </c>
      <c r="D270" t="str">
        <f>"IB"</f>
        <v>IB</v>
      </c>
      <c r="E270" s="2">
        <v>44390</v>
      </c>
      <c r="F270" s="4">
        <v>100000</v>
      </c>
      <c r="H270" s="3">
        <v>146803.45000000001</v>
      </c>
      <c r="I270" t="s">
        <v>30</v>
      </c>
    </row>
    <row r="271" spans="1:9" x14ac:dyDescent="0.25">
      <c r="A271">
        <v>3</v>
      </c>
      <c r="B271" s="1">
        <v>44391.455405092594</v>
      </c>
      <c r="C271" t="str">
        <f>"NEFT AXIC211958510927 OCEANAIR LOGISTICS UTIB0004"</f>
        <v>NEFT AXIC211958510927 OCEANAIR LOGISTICS UTIB0004</v>
      </c>
      <c r="D271" t="str">
        <f>"NEFTINW-0303938965"</f>
        <v>NEFTINW-0303938965</v>
      </c>
      <c r="E271" s="2">
        <v>44391</v>
      </c>
      <c r="G271" s="3">
        <v>101568.5</v>
      </c>
      <c r="H271" s="3">
        <v>248371.95</v>
      </c>
      <c r="I271" t="s">
        <v>30</v>
      </c>
    </row>
    <row r="272" spans="1:9" x14ac:dyDescent="0.25">
      <c r="A272">
        <v>4</v>
      </c>
      <c r="B272" s="1">
        <v>44391.552337962959</v>
      </c>
      <c r="C272" t="str">
        <f>"BY CLG INST 855035/12-07-21/IOB/KOCHI"</f>
        <v>BY CLG INST 855035/12-07-21/IOB/KOCHI</v>
      </c>
      <c r="D272" t="str">
        <f>""</f>
        <v/>
      </c>
      <c r="E272" s="2">
        <v>44391</v>
      </c>
      <c r="G272" s="3">
        <v>160918</v>
      </c>
      <c r="H272" s="3">
        <v>409289.95</v>
      </c>
      <c r="I272" t="s">
        <v>30</v>
      </c>
    </row>
    <row r="273" spans="1:9" x14ac:dyDescent="0.25">
      <c r="A273">
        <v>5</v>
      </c>
      <c r="B273" s="1">
        <v>44391.570567129631</v>
      </c>
      <c r="C273" t="str">
        <f>"Received from TRID XX3487 IMPS HDFCBANKLT"</f>
        <v>Received from TRID XX3487 IMPS HDFCBANKLT</v>
      </c>
      <c r="D273" t="str">
        <f>"IMPS-119513926956"</f>
        <v>IMPS-119513926956</v>
      </c>
      <c r="E273" s="2">
        <v>44391</v>
      </c>
      <c r="G273" s="3">
        <v>18248.7</v>
      </c>
      <c r="H273" s="3">
        <v>427538.65</v>
      </c>
      <c r="I273" t="s">
        <v>30</v>
      </c>
    </row>
    <row r="274" spans="1:9" x14ac:dyDescent="0.25">
      <c r="A274">
        <v>6</v>
      </c>
      <c r="B274" s="1">
        <v>44391.670254629629</v>
      </c>
      <c r="C274" t="str">
        <f>"MB:PETTY CASH"</f>
        <v>MB:PETTY CASH</v>
      </c>
      <c r="D274" t="str">
        <f>"MB-999245222154"</f>
        <v>MB-999245222154</v>
      </c>
      <c r="E274" s="2">
        <v>44391</v>
      </c>
      <c r="F274" s="4">
        <v>5000</v>
      </c>
      <c r="H274" s="3">
        <v>422538.65</v>
      </c>
      <c r="I274" t="s">
        <v>30</v>
      </c>
    </row>
    <row r="275" spans="1:9" x14ac:dyDescent="0.25">
      <c r="A275">
        <v>7</v>
      </c>
      <c r="B275" s="1">
        <v>44391.731724537036</v>
      </c>
      <c r="C275" t="str">
        <f>"NEFT 119502152GN00015 SCHENKER INDIA PRIVATE LIMI"</f>
        <v>NEFT 119502152GN00015 SCHENKER INDIA PRIVATE LIMI</v>
      </c>
      <c r="D275" t="str">
        <f>"NEFTINW-0304106887"</f>
        <v>NEFTINW-0304106887</v>
      </c>
      <c r="E275" s="2">
        <v>44391</v>
      </c>
      <c r="G275" s="3">
        <v>144656.9</v>
      </c>
      <c r="H275" s="3">
        <v>567195.55000000005</v>
      </c>
      <c r="I275" t="s">
        <v>30</v>
      </c>
    </row>
    <row r="276" spans="1:9" x14ac:dyDescent="0.25">
      <c r="A276">
        <v>6</v>
      </c>
      <c r="B276" s="1">
        <v>44392.326990740738</v>
      </c>
      <c r="C276" t="str">
        <f>"NEFT N196211567113885 PERMA SHIPPING LINE INDIA P"</f>
        <v>NEFT N196211567113885 PERMA SHIPPING LINE INDIA P</v>
      </c>
      <c r="D276" t="str">
        <f>"NEFTINW-0304228092"</f>
        <v>NEFTINW-0304228092</v>
      </c>
      <c r="E276" s="2">
        <v>44392</v>
      </c>
      <c r="G276" s="3">
        <v>24293.5</v>
      </c>
      <c r="H276" s="3">
        <v>591489.05000000005</v>
      </c>
      <c r="I276" t="s">
        <v>30</v>
      </c>
    </row>
    <row r="277" spans="1:9" x14ac:dyDescent="0.25">
      <c r="A277">
        <v>7</v>
      </c>
      <c r="B277" s="1">
        <v>44392.479618055557</v>
      </c>
      <c r="C277" t="str">
        <f>"NEFT AXIC211969010931 OCEANAIR LOGISTICS UTIB0004"</f>
        <v>NEFT AXIC211969010931 OCEANAIR LOGISTICS UTIB0004</v>
      </c>
      <c r="D277" t="str">
        <f>"NEFTINW-0304263877"</f>
        <v>NEFTINW-0304263877</v>
      </c>
      <c r="E277" s="2">
        <v>44392</v>
      </c>
      <c r="G277" s="3">
        <v>101568.5</v>
      </c>
      <c r="H277" s="3">
        <v>693057.55</v>
      </c>
      <c r="I277" t="s">
        <v>30</v>
      </c>
    </row>
    <row r="278" spans="1:9" x14ac:dyDescent="0.25">
      <c r="A278">
        <v>8</v>
      </c>
      <c r="B278" s="1">
        <v>44392.545127314814</v>
      </c>
      <c r="C278" t="str">
        <f>"BY CLG INST 855036/14-07-21/IOB/KOCHI"</f>
        <v>BY CLG INST 855036/14-07-21/IOB/KOCHI</v>
      </c>
      <c r="D278" t="str">
        <f>""</f>
        <v/>
      </c>
      <c r="E278" s="2">
        <v>44392</v>
      </c>
      <c r="G278" s="3">
        <v>83772</v>
      </c>
      <c r="H278" s="3">
        <v>776829.55</v>
      </c>
      <c r="I278" t="s">
        <v>30</v>
      </c>
    </row>
    <row r="279" spans="1:9" x14ac:dyDescent="0.25">
      <c r="A279">
        <v>9</v>
      </c>
      <c r="B279" s="1">
        <v>44392.734143518515</v>
      </c>
      <c r="C279" t="str">
        <f>"NEFT FDRLH21196142125 DGS LOGISTICS AND SHIPPING"</f>
        <v>NEFT FDRLH21196142125 DGS LOGISTICS AND SHIPPING</v>
      </c>
      <c r="D279" t="str">
        <f>"NEFTINW-0304405880"</f>
        <v>NEFTINW-0304405880</v>
      </c>
      <c r="E279" s="2">
        <v>44392</v>
      </c>
      <c r="G279" s="3">
        <v>205712</v>
      </c>
      <c r="H279" s="3">
        <v>982541.55</v>
      </c>
      <c r="I279" t="s">
        <v>30</v>
      </c>
    </row>
    <row r="280" spans="1:9" x14ac:dyDescent="0.25">
      <c r="A280">
        <v>10</v>
      </c>
      <c r="B280" s="1">
        <v>44392.737800925926</v>
      </c>
      <c r="C280" t="str">
        <f>"IB   HDFC                        Ref 119617313223"</f>
        <v>IB   HDFC                        Ref 119617313223</v>
      </c>
      <c r="D280" t="str">
        <f>"IMPS-119617313224"</f>
        <v>IMPS-119617313224</v>
      </c>
      <c r="E280" s="2">
        <v>44392</v>
      </c>
      <c r="F280" s="4">
        <v>150000</v>
      </c>
      <c r="H280" s="3">
        <v>832541.55</v>
      </c>
      <c r="I280" t="s">
        <v>30</v>
      </c>
    </row>
    <row r="281" spans="1:9" x14ac:dyDescent="0.25">
      <c r="A281">
        <v>6</v>
      </c>
      <c r="B281" s="1">
        <v>44393.646122685182</v>
      </c>
      <c r="C281" t="str">
        <f>"NEFT 24558829831DC GOODRICH MARITIME PV ICIC0SF00"</f>
        <v>NEFT 24558829831DC GOODRICH MARITIME PV ICIC0SF00</v>
      </c>
      <c r="D281" t="str">
        <f>"NEFTINW-0304630542"</f>
        <v>NEFTINW-0304630542</v>
      </c>
      <c r="E281" s="2">
        <v>44393</v>
      </c>
      <c r="G281" s="3">
        <v>43760.160000000003</v>
      </c>
      <c r="H281" s="3">
        <v>876301.71</v>
      </c>
      <c r="I281" t="s">
        <v>30</v>
      </c>
    </row>
    <row r="282" spans="1:9" x14ac:dyDescent="0.25">
      <c r="A282">
        <v>7</v>
      </c>
      <c r="B282" s="1">
        <v>44393.710555555554</v>
      </c>
      <c r="C282" t="str">
        <f>"NEFT FBBT211979819362 CUBES INTERNATIONAL LOGISTI"</f>
        <v>NEFT FBBT211979819362 CUBES INTERNATIONAL LOGISTI</v>
      </c>
      <c r="D282" t="str">
        <f>"NEFTINW-0304665978"</f>
        <v>NEFTINW-0304665978</v>
      </c>
      <c r="E282" s="2">
        <v>44393</v>
      </c>
      <c r="G282" s="3">
        <v>140777</v>
      </c>
      <c r="H282" s="3">
        <v>1017078.71</v>
      </c>
      <c r="I282" t="s">
        <v>30</v>
      </c>
    </row>
    <row r="283" spans="1:9" x14ac:dyDescent="0.25">
      <c r="A283">
        <v>3</v>
      </c>
      <c r="B283" s="1">
        <v>44394.350069444445</v>
      </c>
      <c r="C283" t="str">
        <f>"IB   HDFC                        Ref 119808758263"</f>
        <v>IB   HDFC                        Ref 119808758263</v>
      </c>
      <c r="D283" t="str">
        <f>"IMPS-119808758040"</f>
        <v>IMPS-119808758040</v>
      </c>
      <c r="E283" s="2">
        <v>44394</v>
      </c>
      <c r="F283" s="4">
        <v>65000</v>
      </c>
      <c r="H283" s="3">
        <v>952078.71</v>
      </c>
      <c r="I283" t="s">
        <v>30</v>
      </c>
    </row>
    <row r="284" spans="1:9" x14ac:dyDescent="0.25">
      <c r="A284">
        <v>4</v>
      </c>
      <c r="B284" s="1">
        <v>44394.529131944444</v>
      </c>
      <c r="C284" t="str">
        <f>"NEFT FBBT211989832293 CUBES INTERNATIONAL LOGISTI"</f>
        <v>NEFT FBBT211989832293 CUBES INTERNATIONAL LOGISTI</v>
      </c>
      <c r="D284" t="str">
        <f>"NEFTINW-0304819765"</f>
        <v>NEFTINW-0304819765</v>
      </c>
      <c r="E284" s="2">
        <v>44394</v>
      </c>
      <c r="G284" s="3">
        <v>147429</v>
      </c>
      <c r="H284" s="3">
        <v>1099507.71</v>
      </c>
      <c r="I284" t="s">
        <v>30</v>
      </c>
    </row>
    <row r="285" spans="1:9" x14ac:dyDescent="0.25">
      <c r="A285">
        <v>3</v>
      </c>
      <c r="B285" s="1">
        <v>44396.513240740744</v>
      </c>
      <c r="C285" t="str">
        <f>"NEFT AXIC212000757887 OCEANAIR LOGISTICS UTIB0004"</f>
        <v>NEFT AXIC212000757887 OCEANAIR LOGISTICS UTIB0004</v>
      </c>
      <c r="D285" t="str">
        <f>"NEFTINW-0305086717"</f>
        <v>NEFTINW-0305086717</v>
      </c>
      <c r="E285" s="2">
        <v>44396</v>
      </c>
      <c r="G285" s="3">
        <v>105064.19</v>
      </c>
      <c r="H285" s="3">
        <v>1204571.8999999999</v>
      </c>
      <c r="I285" t="s">
        <v>30</v>
      </c>
    </row>
    <row r="286" spans="1:9" x14ac:dyDescent="0.25">
      <c r="A286">
        <v>4</v>
      </c>
      <c r="B286" s="1">
        <v>44396.537372685183</v>
      </c>
      <c r="C286" t="str">
        <f>"IB   TO BOB 23                   Ref 120012717936"</f>
        <v>IB   TO BOB 23                   Ref 120012717936</v>
      </c>
      <c r="D286" t="str">
        <f>"IMPS-120012717937"</f>
        <v>IMPS-120012717937</v>
      </c>
      <c r="E286" s="2">
        <v>44396</v>
      </c>
      <c r="F286" s="4">
        <v>75000</v>
      </c>
      <c r="H286" s="3">
        <v>1129571.8999999999</v>
      </c>
      <c r="I286" t="s">
        <v>30</v>
      </c>
    </row>
    <row r="287" spans="1:9" x14ac:dyDescent="0.25">
      <c r="A287">
        <v>3</v>
      </c>
      <c r="B287" s="1">
        <v>44397.539155092592</v>
      </c>
      <c r="C287" t="str">
        <f>"BY CLG INST 5129/30-06-21/BOB/KOCHI"</f>
        <v>BY CLG INST 5129/30-06-21/BOB/KOCHI</v>
      </c>
      <c r="D287" t="str">
        <f>""</f>
        <v/>
      </c>
      <c r="E287" s="2">
        <v>44397</v>
      </c>
      <c r="G287" s="3">
        <v>152031</v>
      </c>
      <c r="H287" s="3">
        <v>1281602.8999999999</v>
      </c>
      <c r="I287" t="s">
        <v>30</v>
      </c>
    </row>
    <row r="288" spans="1:9" x14ac:dyDescent="0.25">
      <c r="A288">
        <v>2</v>
      </c>
      <c r="B288" s="1">
        <v>44398.438668981478</v>
      </c>
      <c r="C288" t="str">
        <f>"NEFT SAA276441663 AMAZING RUBBER PRODU UCBA000139"</f>
        <v>NEFT SAA276441663 AMAZING RUBBER PRODU UCBA000139</v>
      </c>
      <c r="D288" t="str">
        <f>"NEFTINW-0305625388"</f>
        <v>NEFTINW-0305625388</v>
      </c>
      <c r="E288" s="2">
        <v>44398</v>
      </c>
      <c r="G288" s="3">
        <v>22815</v>
      </c>
      <c r="H288" s="3">
        <v>1304417.8999999999</v>
      </c>
      <c r="I288" t="s">
        <v>30</v>
      </c>
    </row>
    <row r="289" spans="1:9" x14ac:dyDescent="0.25">
      <c r="A289">
        <v>3</v>
      </c>
      <c r="B289" s="1">
        <v>44398.480937499997</v>
      </c>
      <c r="C289" t="str">
        <f>"NEFT SAA276444998 AMAZING RUBBER PRODU UCBA000139"</f>
        <v>NEFT SAA276444998 AMAZING RUBBER PRODU UCBA000139</v>
      </c>
      <c r="D289" t="str">
        <f>"NEFTINW-0305631160"</f>
        <v>NEFTINW-0305631160</v>
      </c>
      <c r="E289" s="2">
        <v>44398</v>
      </c>
      <c r="G289" s="3">
        <v>22815</v>
      </c>
      <c r="H289" s="3">
        <v>1327232.8999999999</v>
      </c>
      <c r="I289" t="s">
        <v>30</v>
      </c>
    </row>
    <row r="290" spans="1:9" x14ac:dyDescent="0.25">
      <c r="A290">
        <v>4</v>
      </c>
      <c r="B290" s="1">
        <v>44398.527256944442</v>
      </c>
      <c r="C290" t="str">
        <f>"IB:VASCO SOA"</f>
        <v>IB:VASCO SOA</v>
      </c>
      <c r="D290" t="str">
        <f>"000223313315"</f>
        <v>000223313315</v>
      </c>
      <c r="E290" s="2">
        <v>44398</v>
      </c>
      <c r="F290" s="3">
        <v>500000</v>
      </c>
      <c r="H290" s="3">
        <v>827232.9</v>
      </c>
      <c r="I290" t="s">
        <v>30</v>
      </c>
    </row>
    <row r="291" spans="1:9" x14ac:dyDescent="0.25">
      <c r="A291">
        <v>5</v>
      </c>
      <c r="B291" s="1">
        <v>44398.527638888889</v>
      </c>
      <c r="C291" t="str">
        <f>"IB:VASCO SOA"</f>
        <v>IB:VASCO SOA</v>
      </c>
      <c r="D291" t="str">
        <f>"000223313355"</f>
        <v>000223313355</v>
      </c>
      <c r="E291" s="2">
        <v>44398</v>
      </c>
      <c r="F291" s="3">
        <v>500000</v>
      </c>
      <c r="H291" s="3">
        <v>327232.90000000002</v>
      </c>
      <c r="I291" t="s">
        <v>30</v>
      </c>
    </row>
    <row r="292" spans="1:9" x14ac:dyDescent="0.25">
      <c r="A292">
        <v>6</v>
      </c>
      <c r="B292" s="1">
        <v>44398.528784722221</v>
      </c>
      <c r="C292" t="str">
        <f>"IB:CSA"</f>
        <v>IB:CSA</v>
      </c>
      <c r="D292" t="str">
        <f>"000223313682"</f>
        <v>000223313682</v>
      </c>
      <c r="E292" s="2">
        <v>44398</v>
      </c>
      <c r="F292" s="3">
        <v>11020</v>
      </c>
      <c r="H292" s="3">
        <v>316212.90000000002</v>
      </c>
      <c r="I292" t="s">
        <v>30</v>
      </c>
    </row>
    <row r="293" spans="1:9" x14ac:dyDescent="0.25">
      <c r="A293">
        <v>7</v>
      </c>
      <c r="B293" s="1">
        <v>44398.530243055553</v>
      </c>
      <c r="C293" t="str">
        <f>"IB:ENTRYWAY"</f>
        <v>IB:ENTRYWAY</v>
      </c>
      <c r="D293" t="str">
        <f>"000223314036"</f>
        <v>000223314036</v>
      </c>
      <c r="E293" s="2">
        <v>44398</v>
      </c>
      <c r="F293" s="3">
        <v>111047</v>
      </c>
      <c r="H293" s="3">
        <v>205165.9</v>
      </c>
      <c r="I293" t="s">
        <v>30</v>
      </c>
    </row>
    <row r="294" spans="1:9" x14ac:dyDescent="0.25">
      <c r="A294">
        <v>8</v>
      </c>
      <c r="B294" s="1">
        <v>44398.554236111115</v>
      </c>
      <c r="C294" t="str">
        <f>"BY CLG INST 518823/14-07-21/SBI/KOCHI"</f>
        <v>BY CLG INST 518823/14-07-21/SBI/KOCHI</v>
      </c>
      <c r="D294" t="str">
        <f>""</f>
        <v/>
      </c>
      <c r="E294" s="2">
        <v>44398</v>
      </c>
      <c r="G294" s="3">
        <v>152300</v>
      </c>
      <c r="H294" s="3">
        <v>357465.9</v>
      </c>
      <c r="I294" t="s">
        <v>30</v>
      </c>
    </row>
    <row r="295" spans="1:9" x14ac:dyDescent="0.25">
      <c r="A295">
        <v>9</v>
      </c>
      <c r="B295" s="1">
        <v>44399.497511574074</v>
      </c>
      <c r="C295" t="str">
        <f>"NEFT SBIN421203766030 UNITED SEAFOODS SBIN0004063"</f>
        <v>NEFT SBIN421203766030 UNITED SEAFOODS SBIN0004063</v>
      </c>
      <c r="D295" t="str">
        <f>"NEFTINW-0305808692"</f>
        <v>NEFTINW-0305808692</v>
      </c>
      <c r="E295" s="2">
        <v>44399</v>
      </c>
      <c r="G295" s="3">
        <v>44857.7</v>
      </c>
      <c r="H295" s="3">
        <v>402323.6</v>
      </c>
      <c r="I295" t="s">
        <v>30</v>
      </c>
    </row>
    <row r="296" spans="1:9" x14ac:dyDescent="0.25">
      <c r="A296">
        <v>10</v>
      </c>
      <c r="B296" s="1">
        <v>44399.692280092589</v>
      </c>
      <c r="C296" t="str">
        <f>"MB HDFC                          Ref 120316929382"</f>
        <v>MB HDFC                          Ref 120316929382</v>
      </c>
      <c r="D296" t="str">
        <f>"IMPS-120316929517"</f>
        <v>IMPS-120316929517</v>
      </c>
      <c r="E296" s="2">
        <v>44399</v>
      </c>
      <c r="F296" s="4">
        <v>65000</v>
      </c>
      <c r="H296" s="3">
        <v>337323.6</v>
      </c>
      <c r="I296" t="s">
        <v>30</v>
      </c>
    </row>
    <row r="297" spans="1:9" x14ac:dyDescent="0.25">
      <c r="A297">
        <v>11</v>
      </c>
      <c r="B297" s="1">
        <v>44399.701793981483</v>
      </c>
      <c r="C297" t="str">
        <f>"NEFT 24596975271DC SUNSTAR MARKETING CO ICIC0SF00"</f>
        <v>NEFT 24596975271DC SUNSTAR MARKETING CO ICIC0SF00</v>
      </c>
      <c r="D297" t="str">
        <f>"NEFTINW-0305936116"</f>
        <v>NEFTINW-0305936116</v>
      </c>
      <c r="E297" s="2">
        <v>44399</v>
      </c>
      <c r="G297" s="3">
        <v>39311.699999999997</v>
      </c>
      <c r="H297" s="3">
        <v>376635.3</v>
      </c>
      <c r="I297" t="s">
        <v>30</v>
      </c>
    </row>
    <row r="298" spans="1:9" x14ac:dyDescent="0.25">
      <c r="A298">
        <v>12</v>
      </c>
      <c r="B298" s="1">
        <v>44400.524467592593</v>
      </c>
      <c r="C298" t="str">
        <f>"NEFT FBBT212049888631 CUBES INTERNATIONAL LOGISTI"</f>
        <v>NEFT FBBT212049888631 CUBES INTERNATIONAL LOGISTI</v>
      </c>
      <c r="D298" t="str">
        <f>"NEFTINW-0306106428"</f>
        <v>NEFTINW-0306106428</v>
      </c>
      <c r="E298" s="2">
        <v>44400</v>
      </c>
      <c r="G298" s="3">
        <v>126737</v>
      </c>
      <c r="H298" s="3">
        <v>503372.3</v>
      </c>
      <c r="I298" t="s">
        <v>30</v>
      </c>
    </row>
    <row r="299" spans="1:9" x14ac:dyDescent="0.25">
      <c r="A299">
        <v>2</v>
      </c>
      <c r="B299" s="1">
        <v>44401.444537037038</v>
      </c>
      <c r="C299" t="str">
        <f>"MB HDFC                          Ref 120510537198"</f>
        <v>MB HDFC                          Ref 120510537198</v>
      </c>
      <c r="D299" t="str">
        <f>"IMPS-120510537227"</f>
        <v>IMPS-120510537227</v>
      </c>
      <c r="E299" s="2">
        <v>44401</v>
      </c>
      <c r="F299" s="4">
        <v>40000</v>
      </c>
      <c r="H299" s="3">
        <v>463372.3</v>
      </c>
      <c r="I299" t="s">
        <v>30</v>
      </c>
    </row>
    <row r="300" spans="1:9" x14ac:dyDescent="0.25">
      <c r="A300">
        <v>2</v>
      </c>
      <c r="B300" s="1">
        <v>44403.438379629632</v>
      </c>
      <c r="C300" t="str">
        <f>"MB:PETTY CASH"</f>
        <v>MB:PETTY CASH</v>
      </c>
      <c r="D300" t="str">
        <f>"MB-999240538275"</f>
        <v>MB-999240538275</v>
      </c>
      <c r="E300" s="2">
        <v>44403</v>
      </c>
      <c r="F300" s="4">
        <v>5000</v>
      </c>
      <c r="H300" s="3">
        <v>458372.3</v>
      </c>
      <c r="I300" t="s">
        <v>30</v>
      </c>
    </row>
    <row r="301" spans="1:9" x14ac:dyDescent="0.25">
      <c r="A301">
        <v>3</v>
      </c>
      <c r="B301" s="1">
        <v>44403.616701388892</v>
      </c>
      <c r="C301" t="str">
        <f>"MB:SIBINCAR INSUR"</f>
        <v>MB:SIBINCAR INSUR</v>
      </c>
      <c r="D301" t="str">
        <f>"MB-999240389812"</f>
        <v>MB-999240389812</v>
      </c>
      <c r="E301" s="2">
        <v>44403</v>
      </c>
      <c r="F301" s="4">
        <v>5154</v>
      </c>
      <c r="H301" s="3">
        <v>453218.3</v>
      </c>
      <c r="I301" t="s">
        <v>30</v>
      </c>
    </row>
    <row r="302" spans="1:9" x14ac:dyDescent="0.25">
      <c r="A302">
        <v>3</v>
      </c>
      <c r="B302" s="1">
        <v>44404.456064814818</v>
      </c>
      <c r="C302" t="str">
        <f>"IB IMPS To  50200011090850       Ref 120810375297"</f>
        <v>IB IMPS To  50200011090850       Ref 120810375297</v>
      </c>
      <c r="D302" t="str">
        <f>"IMPS-120810375360"</f>
        <v>IMPS-120810375360</v>
      </c>
      <c r="E302" s="2">
        <v>44404</v>
      </c>
      <c r="F302" s="4">
        <v>18000</v>
      </c>
      <c r="H302" s="3">
        <v>435218.3</v>
      </c>
      <c r="I302" t="s">
        <v>30</v>
      </c>
    </row>
    <row r="303" spans="1:9" x14ac:dyDescent="0.25">
      <c r="A303">
        <v>2</v>
      </c>
      <c r="B303" s="1">
        <v>44404.574907407405</v>
      </c>
      <c r="C303" t="str">
        <f>"BY CLG INST 855055/26-07-21/IOB/KOCHI"</f>
        <v>BY CLG INST 855055/26-07-21/IOB/KOCHI</v>
      </c>
      <c r="D303" t="str">
        <f>""</f>
        <v/>
      </c>
      <c r="E303" s="2">
        <v>44404</v>
      </c>
      <c r="G303" s="3">
        <v>159243</v>
      </c>
      <c r="H303" s="3">
        <v>594461.30000000005</v>
      </c>
      <c r="I303" t="s">
        <v>30</v>
      </c>
    </row>
    <row r="304" spans="1:9" x14ac:dyDescent="0.25">
      <c r="A304">
        <v>3</v>
      </c>
      <c r="B304" s="1">
        <v>44404.574907407405</v>
      </c>
      <c r="C304" t="str">
        <f>"BY CLG INST 855054/26-07-21/IOB/KOCHI"</f>
        <v>BY CLG INST 855054/26-07-21/IOB/KOCHI</v>
      </c>
      <c r="D304" t="str">
        <f>""</f>
        <v/>
      </c>
      <c r="E304" s="2">
        <v>44404</v>
      </c>
      <c r="G304" s="3">
        <v>45336</v>
      </c>
      <c r="H304" s="3">
        <v>639797.30000000005</v>
      </c>
      <c r="I304" t="s">
        <v>30</v>
      </c>
    </row>
    <row r="305" spans="1:9" x14ac:dyDescent="0.25">
      <c r="A305">
        <v>4</v>
      </c>
      <c r="B305" s="1">
        <v>44405.312534722223</v>
      </c>
      <c r="C305" t="str">
        <f>"IB   HDFC                        Ref 120907288506"</f>
        <v>IB   HDFC                        Ref 120907288506</v>
      </c>
      <c r="D305" t="str">
        <f>"IMPS-120907288603"</f>
        <v>IMPS-120907288603</v>
      </c>
      <c r="E305" s="2">
        <v>44405</v>
      </c>
      <c r="F305" s="4">
        <v>12000</v>
      </c>
      <c r="H305" s="3">
        <v>627797.30000000005</v>
      </c>
      <c r="I305" t="s">
        <v>30</v>
      </c>
    </row>
    <row r="306" spans="1:9" x14ac:dyDescent="0.25">
      <c r="A306">
        <v>2</v>
      </c>
      <c r="B306" s="1">
        <v>44405.68476851852</v>
      </c>
      <c r="C306" t="str">
        <f>"NEFT FBBT212099941696 CUBES INTERNATIONAL LOGISTI"</f>
        <v>NEFT FBBT212099941696 CUBES INTERNATIONAL LOGISTI</v>
      </c>
      <c r="D306" t="str">
        <f>"NEFTINW-0307265435"</f>
        <v>NEFTINW-0307265435</v>
      </c>
      <c r="E306" s="2">
        <v>44405</v>
      </c>
      <c r="G306" s="3">
        <v>126737</v>
      </c>
      <c r="H306" s="3">
        <v>754534.3</v>
      </c>
      <c r="I306" t="s">
        <v>30</v>
      </c>
    </row>
    <row r="307" spans="1:9" x14ac:dyDescent="0.25">
      <c r="A307">
        <v>3</v>
      </c>
      <c r="B307" s="1">
        <v>44406.549085648148</v>
      </c>
      <c r="C307" t="str">
        <f>"NEFT FDRLH21210618700 DGS LOGISTICS AND SHIPPING"</f>
        <v>NEFT FDRLH21210618700 DGS LOGISTICS AND SHIPPING</v>
      </c>
      <c r="D307" t="str">
        <f>"NEFTINW-0307487997"</f>
        <v>NEFTINW-0307487997</v>
      </c>
      <c r="E307" s="2">
        <v>44406</v>
      </c>
      <c r="G307" s="3">
        <v>150000</v>
      </c>
      <c r="H307" s="3">
        <v>904534.3</v>
      </c>
      <c r="I307" t="s">
        <v>30</v>
      </c>
    </row>
    <row r="308" spans="1:9" x14ac:dyDescent="0.25">
      <c r="A308">
        <v>4</v>
      </c>
      <c r="B308" s="1">
        <v>44406.555949074071</v>
      </c>
      <c r="C308" t="str">
        <f>"TO CLG DAVIS CHAKALAKAL MOLLY STATE BANK"</f>
        <v>TO CLG DAVIS CHAKALAKAL MOLLY STATE BANK</v>
      </c>
      <c r="D308" t="str">
        <f>"158"</f>
        <v>158</v>
      </c>
      <c r="E308" s="2">
        <v>44406</v>
      </c>
      <c r="F308" s="4">
        <v>13500</v>
      </c>
      <c r="H308" s="3">
        <v>891034.3</v>
      </c>
      <c r="I308" t="s">
        <v>30</v>
      </c>
    </row>
    <row r="309" spans="1:9" x14ac:dyDescent="0.25">
      <c r="A309">
        <v>5</v>
      </c>
      <c r="B309" s="1">
        <v>44406.597858796296</v>
      </c>
      <c r="C309" t="str">
        <f>"NEFT SIBLE00013348471 ROSE MOUNT SHIPPING INDIA P"</f>
        <v>NEFT SIBLE00013348471 ROSE MOUNT SHIPPING INDIA P</v>
      </c>
      <c r="D309" t="str">
        <f>"NEFTINW-0307510435"</f>
        <v>NEFTINW-0307510435</v>
      </c>
      <c r="E309" s="2">
        <v>44406</v>
      </c>
      <c r="G309" s="3">
        <v>174549.7</v>
      </c>
      <c r="H309" s="3">
        <v>1065584</v>
      </c>
      <c r="I309" t="s">
        <v>30</v>
      </c>
    </row>
    <row r="310" spans="1:9" x14ac:dyDescent="0.25">
      <c r="A310">
        <v>4</v>
      </c>
      <c r="B310" s="1">
        <v>44407.459247685183</v>
      </c>
      <c r="C310" t="str">
        <f>"CASH WITHDRAWAL BYRENJITH AT ERNAKULAMBRANCH"</f>
        <v>CASH WITHDRAWAL BYRENJITH AT ERNAKULAMBRANCH</v>
      </c>
      <c r="D310" t="str">
        <f>"160"</f>
        <v>160</v>
      </c>
      <c r="E310" s="2">
        <v>44407</v>
      </c>
      <c r="F310" s="4">
        <v>10000</v>
      </c>
      <c r="H310" s="3">
        <v>1055584</v>
      </c>
      <c r="I310" t="s">
        <v>30</v>
      </c>
    </row>
    <row r="311" spans="1:9" x14ac:dyDescent="0.25">
      <c r="A311">
        <v>5</v>
      </c>
      <c r="B311" s="1">
        <v>44407.56082175926</v>
      </c>
      <c r="C311" t="str">
        <f>"NEFT N211211581872303 MIRAJ DRYMIX PVT LTD HDFC00"</f>
        <v>NEFT N211211581872303 MIRAJ DRYMIX PVT LTD HDFC00</v>
      </c>
      <c r="D311" t="str">
        <f>"NEFTINW-0307852729"</f>
        <v>NEFTINW-0307852729</v>
      </c>
      <c r="E311" s="2">
        <v>44407</v>
      </c>
      <c r="G311" s="3">
        <v>236304</v>
      </c>
      <c r="H311" s="3">
        <v>1291888</v>
      </c>
      <c r="I311" t="s">
        <v>30</v>
      </c>
    </row>
    <row r="312" spans="1:9" x14ac:dyDescent="0.25">
      <c r="A312">
        <v>6</v>
      </c>
      <c r="B312" s="1">
        <v>44407.593518518515</v>
      </c>
      <c r="C312" t="str">
        <f>"FUND TR TO SALARY DISBURSEMENTFOR JULY2021"</f>
        <v>FUND TR TO SALARY DISBURSEMENTFOR JULY2021</v>
      </c>
      <c r="D312" t="str">
        <f>"159"</f>
        <v>159</v>
      </c>
      <c r="E312" s="2">
        <v>44407</v>
      </c>
      <c r="F312" s="3">
        <v>83684</v>
      </c>
      <c r="H312" s="3">
        <v>1208204</v>
      </c>
      <c r="I312" t="s">
        <v>30</v>
      </c>
    </row>
    <row r="313" spans="1:9" x14ac:dyDescent="0.25">
      <c r="A313">
        <v>7</v>
      </c>
      <c r="B313" s="1">
        <v>44407.766261574077</v>
      </c>
      <c r="C313" t="str">
        <f>"CAROL PETROL"</f>
        <v>CAROL PETROL</v>
      </c>
      <c r="D313" t="str">
        <f>"IB"</f>
        <v>IB</v>
      </c>
      <c r="E313" s="2">
        <v>44407</v>
      </c>
      <c r="F313" s="4">
        <v>2500</v>
      </c>
      <c r="H313" s="3">
        <v>1205704</v>
      </c>
      <c r="I313" t="s">
        <v>30</v>
      </c>
    </row>
    <row r="314" spans="1:9" x14ac:dyDescent="0.25">
      <c r="A314">
        <v>8</v>
      </c>
      <c r="B314" s="1">
        <v>44407.766574074078</v>
      </c>
      <c r="C314" t="str">
        <f>"HARI REPAID"</f>
        <v>HARI REPAID</v>
      </c>
      <c r="D314" t="str">
        <f>"IB"</f>
        <v>IB</v>
      </c>
      <c r="E314" s="2">
        <v>44407</v>
      </c>
      <c r="F314" s="4">
        <v>30960</v>
      </c>
      <c r="H314" s="3">
        <v>1174744</v>
      </c>
      <c r="I314" t="s">
        <v>30</v>
      </c>
    </row>
    <row r="315" spans="1:9" x14ac:dyDescent="0.25">
      <c r="A315">
        <v>9</v>
      </c>
      <c r="B315" s="1">
        <v>44407.766909722224</v>
      </c>
      <c r="C315" t="str">
        <f>"IB   TO BOB 23                   Ref 121118212224"</f>
        <v>IB   TO BOB 23                   Ref 121118212224</v>
      </c>
      <c r="D315" t="str">
        <f>"IMPS-121118212225"</f>
        <v>IMPS-121118212225</v>
      </c>
      <c r="E315" s="2">
        <v>44407</v>
      </c>
      <c r="F315" s="4">
        <v>15000</v>
      </c>
      <c r="H315" s="3">
        <v>1159744</v>
      </c>
      <c r="I315" t="s">
        <v>30</v>
      </c>
    </row>
    <row r="316" spans="1:9" x14ac:dyDescent="0.25">
      <c r="A316">
        <v>10</v>
      </c>
      <c r="B316" s="1">
        <v>44407.771238425928</v>
      </c>
      <c r="C316" t="str">
        <f>"MB NIMAL STIPEND                 Ref 121118221271"</f>
        <v>MB NIMAL STIPEND                 Ref 121118221271</v>
      </c>
      <c r="D316" t="str">
        <f>"IMPS-121118221273"</f>
        <v>IMPS-121118221273</v>
      </c>
      <c r="E316" s="2">
        <v>44407</v>
      </c>
      <c r="F316" s="4">
        <v>10000</v>
      </c>
      <c r="H316" s="3">
        <v>1149744</v>
      </c>
      <c r="I316" t="s">
        <v>30</v>
      </c>
    </row>
    <row r="317" spans="1:9" x14ac:dyDescent="0.25">
      <c r="A317">
        <v>11</v>
      </c>
      <c r="B317" s="1">
        <v>44407.771643518521</v>
      </c>
      <c r="C317" t="str">
        <f>"MB ASWIN STIPEND                 Ref 121118222082"</f>
        <v>MB ASWIN STIPEND                 Ref 121118222082</v>
      </c>
      <c r="D317" t="str">
        <f>"IMPS-121118222117"</f>
        <v>IMPS-121118222117</v>
      </c>
      <c r="E317" s="2">
        <v>44407</v>
      </c>
      <c r="F317" s="4">
        <v>10000</v>
      </c>
      <c r="H317" s="3">
        <v>1139744</v>
      </c>
      <c r="I317" t="s">
        <v>30</v>
      </c>
    </row>
    <row r="318" spans="1:9" x14ac:dyDescent="0.25">
      <c r="A318">
        <v>9</v>
      </c>
      <c r="B318" s="1">
        <v>44408.379918981482</v>
      </c>
      <c r="C318" t="str">
        <f>"IB   HDFC                        Ref 121209680658"</f>
        <v>IB   HDFC                        Ref 121209680658</v>
      </c>
      <c r="D318" t="str">
        <f>"IMPS-121209680659"</f>
        <v>IMPS-121209680659</v>
      </c>
      <c r="E318" s="2">
        <v>44408</v>
      </c>
      <c r="F318" s="4">
        <v>158000</v>
      </c>
      <c r="H318" s="3">
        <v>981744</v>
      </c>
      <c r="I318" t="s">
        <v>30</v>
      </c>
    </row>
    <row r="319" spans="1:9" x14ac:dyDescent="0.25">
      <c r="A319">
        <v>10</v>
      </c>
      <c r="B319" s="1">
        <v>44408.430150462962</v>
      </c>
      <c r="C319" t="str">
        <f>"MB:PETTY CASH"</f>
        <v>MB:PETTY CASH</v>
      </c>
      <c r="D319" t="str">
        <f>"MB-999238206129"</f>
        <v>MB-999238206129</v>
      </c>
      <c r="E319" s="2">
        <v>44408</v>
      </c>
      <c r="F319" s="4">
        <v>10000</v>
      </c>
      <c r="H319" s="3">
        <v>971744</v>
      </c>
      <c r="I319" t="s">
        <v>30</v>
      </c>
    </row>
    <row r="320" spans="1:9" x14ac:dyDescent="0.25">
      <c r="A320">
        <v>11</v>
      </c>
      <c r="B320" s="1">
        <v>44410.366724537038</v>
      </c>
      <c r="C320" t="str">
        <f>"IB   HDFC                        Ref 121408891529"</f>
        <v>IB   HDFC                        Ref 121408891529</v>
      </c>
      <c r="D320" t="str">
        <f>"IMPS-121408891530"</f>
        <v>IMPS-121408891530</v>
      </c>
      <c r="E320" s="2">
        <v>44410</v>
      </c>
      <c r="F320" s="4">
        <v>7000</v>
      </c>
      <c r="H320" s="3">
        <v>964744</v>
      </c>
      <c r="I320" t="s">
        <v>30</v>
      </c>
    </row>
    <row r="321" spans="1:9" x14ac:dyDescent="0.25">
      <c r="A321">
        <v>2</v>
      </c>
      <c r="B321" s="1">
        <v>44411.332314814812</v>
      </c>
      <c r="C321" t="str">
        <f>"SIBIN DRAW"</f>
        <v>SIBIN DRAW</v>
      </c>
      <c r="D321" t="str">
        <f>"IB"</f>
        <v>IB</v>
      </c>
      <c r="E321" s="2">
        <v>44411</v>
      </c>
      <c r="F321" s="4">
        <v>100000</v>
      </c>
      <c r="H321" s="3">
        <v>864744</v>
      </c>
      <c r="I321" t="s">
        <v>30</v>
      </c>
    </row>
    <row r="322" spans="1:9" x14ac:dyDescent="0.25">
      <c r="A322">
        <v>3</v>
      </c>
      <c r="B322" s="1">
        <v>44411.566122685188</v>
      </c>
      <c r="C322" t="str">
        <f>"NEFT 121501156GN00013 SCHENKER INDIA PRIVATE LIMI"</f>
        <v>NEFT 121501156GN00013 SCHENKER INDIA PRIVATE LIMI</v>
      </c>
      <c r="D322" t="str">
        <f>"NEFTINW-0309011881"</f>
        <v>NEFTINW-0309011881</v>
      </c>
      <c r="E322" s="2">
        <v>44411</v>
      </c>
      <c r="G322" s="3">
        <v>85607.58</v>
      </c>
      <c r="H322" s="3">
        <v>950351.58</v>
      </c>
      <c r="I322" t="s">
        <v>30</v>
      </c>
    </row>
    <row r="323" spans="1:9" x14ac:dyDescent="0.25">
      <c r="A323">
        <v>3</v>
      </c>
      <c r="B323" s="1">
        <v>44412.402673611112</v>
      </c>
      <c r="C323" t="str">
        <f>"IB   HDFC                        Ref 121609462428"</f>
        <v>IB   HDFC                        Ref 121609462428</v>
      </c>
      <c r="D323" t="str">
        <f>"IMPS-121609462383"</f>
        <v>IMPS-121609462383</v>
      </c>
      <c r="E323" s="2">
        <v>44412</v>
      </c>
      <c r="F323" s="4">
        <v>18000</v>
      </c>
      <c r="H323" s="3">
        <v>932351.58</v>
      </c>
      <c r="I323" t="s">
        <v>30</v>
      </c>
    </row>
    <row r="324" spans="1:9" x14ac:dyDescent="0.25">
      <c r="A324">
        <v>4</v>
      </c>
      <c r="B324" s="1">
        <v>44412.648587962962</v>
      </c>
      <c r="C324" t="str">
        <f>"IB:RENT GANDHI"</f>
        <v>IB:RENT GANDHI</v>
      </c>
      <c r="D324" t="str">
        <f>"000225346401"</f>
        <v>000225346401</v>
      </c>
      <c r="E324" s="2">
        <v>44412</v>
      </c>
      <c r="F324" s="4">
        <v>6500</v>
      </c>
      <c r="H324" s="3">
        <v>925851.58</v>
      </c>
      <c r="I324" t="s">
        <v>30</v>
      </c>
    </row>
    <row r="325" spans="1:9" x14ac:dyDescent="0.25">
      <c r="A325">
        <v>3</v>
      </c>
      <c r="B325" s="1">
        <v>44413.603854166664</v>
      </c>
      <c r="C325" t="str">
        <f>"NEFT SBIN221217212269 UNITED SEAFOODS SBIN0004063"</f>
        <v>NEFT SBIN221217212269 UNITED SEAFOODS SBIN0004063</v>
      </c>
      <c r="D325" t="str">
        <f>"NEFTINW-0309698549"</f>
        <v>NEFTINW-0309698549</v>
      </c>
      <c r="E325" s="2">
        <v>44413</v>
      </c>
      <c r="G325" s="3">
        <v>9524.9599999999991</v>
      </c>
      <c r="H325" s="3">
        <v>935376.54</v>
      </c>
      <c r="I325" t="s">
        <v>30</v>
      </c>
    </row>
    <row r="326" spans="1:9" x14ac:dyDescent="0.25">
      <c r="A326">
        <v>4</v>
      </c>
      <c r="B326" s="1">
        <v>44413.697685185187</v>
      </c>
      <c r="C326" t="str">
        <f>"NEFT FBBT212170068726 CUBES INTERNATIONAL LOGISTI"</f>
        <v>NEFT FBBT212170068726 CUBES INTERNATIONAL LOGISTI</v>
      </c>
      <c r="D326" t="str">
        <f>"NEFTINW-0309757749"</f>
        <v>NEFTINW-0309757749</v>
      </c>
      <c r="E326" s="2">
        <v>44413</v>
      </c>
      <c r="G326" s="3">
        <v>126737</v>
      </c>
      <c r="H326" s="3">
        <v>1062113.54</v>
      </c>
      <c r="I326" t="s">
        <v>30</v>
      </c>
    </row>
    <row r="327" spans="1:9" x14ac:dyDescent="0.25">
      <c r="A327">
        <v>5</v>
      </c>
      <c r="B327" s="1">
        <v>44413.75922453704</v>
      </c>
      <c r="C327" t="str">
        <f>"NEFT 121701773GN00018 SCHENKER INDIA PRIVATE LIMI"</f>
        <v>NEFT 121701773GN00018 SCHENKER INDIA PRIVATE LIMI</v>
      </c>
      <c r="D327" t="str">
        <f>"NEFTINW-0309814967"</f>
        <v>NEFTINW-0309814967</v>
      </c>
      <c r="E327" s="2">
        <v>44413</v>
      </c>
      <c r="G327" s="3">
        <v>39525.32</v>
      </c>
      <c r="H327" s="3">
        <v>1101638.8600000001</v>
      </c>
      <c r="I327" t="s">
        <v>30</v>
      </c>
    </row>
    <row r="328" spans="1:9" x14ac:dyDescent="0.25">
      <c r="A328">
        <v>4</v>
      </c>
      <c r="B328" s="1">
        <v>44414.353101851855</v>
      </c>
      <c r="C328" t="str">
        <f>"OS ASIANET ABB 1520210600"</f>
        <v>OS ASIANET ABB 1520210600</v>
      </c>
      <c r="D328" t="str">
        <f>"KPG-0145252594"</f>
        <v>KPG-0145252594</v>
      </c>
      <c r="E328" s="2">
        <v>44414</v>
      </c>
      <c r="F328" s="5">
        <v>824.82</v>
      </c>
      <c r="H328" s="3">
        <v>1100814.04</v>
      </c>
      <c r="I328" t="s">
        <v>30</v>
      </c>
    </row>
    <row r="329" spans="1:9" x14ac:dyDescent="0.25">
      <c r="A329">
        <v>5</v>
      </c>
      <c r="B329" s="1">
        <v>44414.726655092592</v>
      </c>
      <c r="C329" t="str">
        <f>"NEFT 121802559GN00009 SCHENKER INDIA PRIVATE LIMI"</f>
        <v>NEFT 121802559GN00009 SCHENKER INDIA PRIVATE LIMI</v>
      </c>
      <c r="D329" t="str">
        <f>"NEFTINW-0310150505"</f>
        <v>NEFTINW-0310150505</v>
      </c>
      <c r="E329" s="2">
        <v>44414</v>
      </c>
      <c r="G329" s="3">
        <v>42143.82</v>
      </c>
      <c r="H329" s="3">
        <v>1142957.8600000001</v>
      </c>
      <c r="I329" t="s">
        <v>30</v>
      </c>
    </row>
    <row r="330" spans="1:9" x14ac:dyDescent="0.25">
      <c r="A330">
        <v>3</v>
      </c>
      <c r="B330" s="1">
        <v>44415.544953703706</v>
      </c>
      <c r="C330" t="str">
        <f>"BY CLG INST 855070/05-08-21/IOB/KOCHI"</f>
        <v>BY CLG INST 855070/05-08-21/IOB/KOCHI</v>
      </c>
      <c r="D330" t="str">
        <f>""</f>
        <v/>
      </c>
      <c r="E330" s="2">
        <v>44415</v>
      </c>
      <c r="G330" s="3">
        <v>167711</v>
      </c>
      <c r="H330" s="3">
        <v>1310668.8600000001</v>
      </c>
      <c r="I330" t="s">
        <v>30</v>
      </c>
    </row>
    <row r="331" spans="1:9" x14ac:dyDescent="0.25">
      <c r="A331">
        <v>4</v>
      </c>
      <c r="B331" s="1">
        <v>44415.544953703706</v>
      </c>
      <c r="C331" t="str">
        <f>"BY CLG INST 855069/05-08-21/IOB/KOCHI"</f>
        <v>BY CLG INST 855069/05-08-21/IOB/KOCHI</v>
      </c>
      <c r="D331" t="str">
        <f>""</f>
        <v/>
      </c>
      <c r="E331" s="2">
        <v>44415</v>
      </c>
      <c r="G331" s="3">
        <v>81599</v>
      </c>
      <c r="H331" s="3">
        <v>1392267.86</v>
      </c>
      <c r="I331" t="s">
        <v>30</v>
      </c>
    </row>
    <row r="332" spans="1:9" x14ac:dyDescent="0.25">
      <c r="A332">
        <v>5</v>
      </c>
      <c r="B332" s="1">
        <v>44415.782407407409</v>
      </c>
      <c r="C332" t="str">
        <f>"IB   TO BOB23                    Ref 121918230486"</f>
        <v>IB   TO BOB23                    Ref 121918230486</v>
      </c>
      <c r="D332" t="str">
        <f>"IMPS-121918230487"</f>
        <v>IMPS-121918230487</v>
      </c>
      <c r="E332" s="2">
        <v>44415</v>
      </c>
      <c r="F332" s="4">
        <v>30000</v>
      </c>
      <c r="H332" s="3">
        <v>1362267.86</v>
      </c>
      <c r="I332" t="s">
        <v>30</v>
      </c>
    </row>
    <row r="333" spans="1:9" x14ac:dyDescent="0.25">
      <c r="A333">
        <v>6</v>
      </c>
      <c r="B333" s="1">
        <v>44417.451064814813</v>
      </c>
      <c r="C333" t="str">
        <f>"NEFT SBIN521221555374 UNITED SEAFOODS SBIN0004063"</f>
        <v>NEFT SBIN521221555374 UNITED SEAFOODS SBIN0004063</v>
      </c>
      <c r="D333" t="str">
        <f>"NEFTINW-0310734450"</f>
        <v>NEFTINW-0310734450</v>
      </c>
      <c r="E333" s="2">
        <v>44417</v>
      </c>
      <c r="G333" s="3">
        <v>44857.7</v>
      </c>
      <c r="H333" s="3">
        <v>1407125.56</v>
      </c>
      <c r="I333" t="s">
        <v>30</v>
      </c>
    </row>
    <row r="334" spans="1:9" x14ac:dyDescent="0.25">
      <c r="A334">
        <v>7</v>
      </c>
      <c r="B334" s="1">
        <v>44417.453009259261</v>
      </c>
      <c r="C334" t="str">
        <f>"NEFT SBIN521221552183 UNITED SEAFOODS SBIN0004063"</f>
        <v>NEFT SBIN521221552183 UNITED SEAFOODS SBIN0004063</v>
      </c>
      <c r="D334" t="str">
        <f>"NEFTINW-0310733956"</f>
        <v>NEFTINW-0310733956</v>
      </c>
      <c r="E334" s="2">
        <v>44417</v>
      </c>
      <c r="G334" s="3">
        <v>84995.4</v>
      </c>
      <c r="H334" s="3">
        <v>1492120.96</v>
      </c>
      <c r="I334" t="s">
        <v>30</v>
      </c>
    </row>
    <row r="335" spans="1:9" x14ac:dyDescent="0.25">
      <c r="A335">
        <v>8</v>
      </c>
      <c r="B335" s="1">
        <v>44417.453402777777</v>
      </c>
      <c r="C335" t="str">
        <f>"NEFT SBIN521221556683 UNITED SEAFOODS SBIN0004063"</f>
        <v>NEFT SBIN521221556683 UNITED SEAFOODS SBIN0004063</v>
      </c>
      <c r="D335" t="str">
        <f>"NEFTINW-0310738261"</f>
        <v>NEFTINW-0310738261</v>
      </c>
      <c r="E335" s="2">
        <v>44417</v>
      </c>
      <c r="G335" s="3">
        <v>44857.7</v>
      </c>
      <c r="H335" s="3">
        <v>1536978.66</v>
      </c>
      <c r="I335" t="s">
        <v>30</v>
      </c>
    </row>
    <row r="336" spans="1:9" x14ac:dyDescent="0.25">
      <c r="A336">
        <v>9</v>
      </c>
      <c r="B336" s="1">
        <v>44417.478680555556</v>
      </c>
      <c r="C336" t="str">
        <f>"CASH WITHDRAWAL BY RENJITH VARMA AT ERNAKULAMBRANC"</f>
        <v>CASH WITHDRAWAL BY RENJITH VARMA AT ERNAKULAMBRANC</v>
      </c>
      <c r="D336" t="str">
        <f>"75"</f>
        <v>75</v>
      </c>
      <c r="E336" s="2">
        <v>44417</v>
      </c>
      <c r="F336" s="4">
        <v>10000</v>
      </c>
      <c r="H336" s="3">
        <v>1526978.66</v>
      </c>
      <c r="I336" t="s">
        <v>30</v>
      </c>
    </row>
    <row r="337" spans="1:9" x14ac:dyDescent="0.25">
      <c r="A337">
        <v>5</v>
      </c>
      <c r="B337" s="1">
        <v>44418.570937500001</v>
      </c>
      <c r="C337" t="str">
        <f>"NEFT SIN01733Q0324961 FREIGHT SYSTEMS IND SCBL00"</f>
        <v>NEFT SIN01733Q0324961 FREIGHT SYSTEMS IND SCBL00</v>
      </c>
      <c r="D337" t="str">
        <f>"NEFTINW-0311161241"</f>
        <v>NEFTINW-0311161241</v>
      </c>
      <c r="E337" s="2">
        <v>44418</v>
      </c>
      <c r="G337" s="3">
        <v>78636.7</v>
      </c>
      <c r="H337" s="3">
        <v>1605615.36</v>
      </c>
      <c r="I337" t="s">
        <v>30</v>
      </c>
    </row>
    <row r="338" spans="1:9" x14ac:dyDescent="0.25">
      <c r="A338">
        <v>6</v>
      </c>
      <c r="B338" s="1">
        <v>44418.611041666663</v>
      </c>
      <c r="C338" t="str">
        <f>"NEFT SIBLE00013459484 CEYENAR CHEMICALS PVT LTD37"</f>
        <v>NEFT SIBLE00013459484 CEYENAR CHEMICALS PVT LTD37</v>
      </c>
      <c r="D338" t="str">
        <f>"NEFTINW-0311174526"</f>
        <v>NEFTINW-0311174526</v>
      </c>
      <c r="E338" s="2">
        <v>44418</v>
      </c>
      <c r="G338" s="3">
        <v>26922</v>
      </c>
      <c r="H338" s="3">
        <v>1632537.36</v>
      </c>
      <c r="I338" t="s">
        <v>30</v>
      </c>
    </row>
    <row r="339" spans="1:9" x14ac:dyDescent="0.25">
      <c r="A339">
        <v>3</v>
      </c>
      <c r="B339" s="1">
        <v>44418.830729166664</v>
      </c>
      <c r="C339" t="str">
        <f>"IB   HDFC                        Ref 122219943847"</f>
        <v>IB   HDFC                        Ref 122219943847</v>
      </c>
      <c r="D339" t="str">
        <f>"IMPS-122219943848"</f>
        <v>IMPS-122219943848</v>
      </c>
      <c r="E339" s="2">
        <v>44418</v>
      </c>
      <c r="F339" s="4">
        <v>100000</v>
      </c>
      <c r="H339" s="3">
        <v>1532537.36</v>
      </c>
      <c r="I339" t="s">
        <v>30</v>
      </c>
    </row>
    <row r="340" spans="1:9" x14ac:dyDescent="0.25">
      <c r="A340">
        <v>4</v>
      </c>
      <c r="B340" s="1">
        <v>44419.404606481483</v>
      </c>
      <c r="C340" t="str">
        <f>"IB   HDFC                        Ref 122309343097"</f>
        <v>IB   HDFC                        Ref 122309343097</v>
      </c>
      <c r="D340" t="str">
        <f>"IMPS-122309343098"</f>
        <v>IMPS-122309343098</v>
      </c>
      <c r="E340" s="2">
        <v>44419</v>
      </c>
      <c r="F340" s="4">
        <v>115000</v>
      </c>
      <c r="H340" s="3">
        <v>1417537.36</v>
      </c>
      <c r="I340" t="s">
        <v>30</v>
      </c>
    </row>
    <row r="341" spans="1:9" x14ac:dyDescent="0.25">
      <c r="A341">
        <v>5</v>
      </c>
      <c r="B341" s="1">
        <v>44419.417881944442</v>
      </c>
      <c r="C341" t="str">
        <f>"IB:BHAVANI"</f>
        <v>IB:BHAVANI</v>
      </c>
      <c r="D341" t="str">
        <f>"000226542176"</f>
        <v>000226542176</v>
      </c>
      <c r="E341" s="2">
        <v>44419</v>
      </c>
      <c r="F341" s="4">
        <v>66618</v>
      </c>
      <c r="H341" s="3">
        <v>1350919.36</v>
      </c>
      <c r="I341" t="s">
        <v>30</v>
      </c>
    </row>
    <row r="342" spans="1:9" x14ac:dyDescent="0.25">
      <c r="A342">
        <v>6</v>
      </c>
      <c r="B342" s="1">
        <v>44419.504918981482</v>
      </c>
      <c r="C342" t="str">
        <f>"IB: ETAX EPFONEW 0018683187"</f>
        <v>IB: ETAX EPFONEW 0018683187</v>
      </c>
      <c r="D342" t="str">
        <f>"GBM-0018683187"</f>
        <v>GBM-0018683187</v>
      </c>
      <c r="E342" s="2">
        <v>44419</v>
      </c>
      <c r="F342" s="3">
        <v>15677</v>
      </c>
      <c r="H342" s="3">
        <v>1335242.3600000001</v>
      </c>
      <c r="I342" t="s">
        <v>30</v>
      </c>
    </row>
    <row r="343" spans="1:9" x14ac:dyDescent="0.25">
      <c r="A343">
        <v>7</v>
      </c>
      <c r="B343" s="1">
        <v>44419.637986111113</v>
      </c>
      <c r="C343" t="str">
        <f>"NEFT SIN13876Q0099433 M S EXPO FREIGHT PVT SCBL00"</f>
        <v>NEFT SIN13876Q0099433 M S EXPO FREIGHT PVT SCBL00</v>
      </c>
      <c r="D343" t="str">
        <f>"NEFTINW-0311583107"</f>
        <v>NEFTINW-0311583107</v>
      </c>
      <c r="E343" s="2">
        <v>44419</v>
      </c>
      <c r="G343" s="3">
        <v>137428</v>
      </c>
      <c r="H343" s="3">
        <v>1472670.36</v>
      </c>
      <c r="I343" t="s">
        <v>30</v>
      </c>
    </row>
    <row r="344" spans="1:9" x14ac:dyDescent="0.25">
      <c r="A344">
        <v>5</v>
      </c>
      <c r="B344" s="1">
        <v>44420.545428240737</v>
      </c>
      <c r="C344" t="str">
        <f>"Received from KERA XX1674 IMPS The Federa"</f>
        <v>Received from KERA XX1674 IMPS The Federa</v>
      </c>
      <c r="D344" t="str">
        <f>"IMPS-122413868273"</f>
        <v>IMPS-122413868273</v>
      </c>
      <c r="E344" s="2">
        <v>44420</v>
      </c>
      <c r="G344" s="3">
        <v>44857</v>
      </c>
      <c r="H344" s="3">
        <v>1517527.36</v>
      </c>
      <c r="I344" t="s">
        <v>30</v>
      </c>
    </row>
    <row r="345" spans="1:9" x14ac:dyDescent="0.25">
      <c r="A345">
        <v>6</v>
      </c>
      <c r="B345" s="1">
        <v>44420.646273148152</v>
      </c>
      <c r="C345" t="str">
        <f>"NEFT SAA280290019 AMAZING RUBBER PRODU UCBA000139"</f>
        <v>NEFT SAA280290019 AMAZING RUBBER PRODU UCBA000139</v>
      </c>
      <c r="D345" t="str">
        <f>"NEFTINW-0311908028"</f>
        <v>NEFTINW-0311908028</v>
      </c>
      <c r="E345" s="2">
        <v>44420</v>
      </c>
      <c r="G345">
        <v>606</v>
      </c>
      <c r="H345" s="3">
        <v>1518133.36</v>
      </c>
      <c r="I345" t="s">
        <v>30</v>
      </c>
    </row>
    <row r="346" spans="1:9" x14ac:dyDescent="0.25">
      <c r="A346">
        <v>7</v>
      </c>
      <c r="B346" s="1">
        <v>44420.646701388891</v>
      </c>
      <c r="C346" t="str">
        <f>"NEFT IDIBH21224447093 ALLCARGO LOGISTICS LTD IDIB"</f>
        <v>NEFT IDIBH21224447093 ALLCARGO LOGISTICS LTD IDIB</v>
      </c>
      <c r="D346" t="str">
        <f>"NEFTINW-0311914823"</f>
        <v>NEFTINW-0311914823</v>
      </c>
      <c r="E346" s="2">
        <v>44420</v>
      </c>
      <c r="G346" s="3">
        <v>135916.29999999999</v>
      </c>
      <c r="H346" s="3">
        <v>1654049.66</v>
      </c>
      <c r="I346" t="s">
        <v>30</v>
      </c>
    </row>
    <row r="347" spans="1:9" x14ac:dyDescent="0.25">
      <c r="A347">
        <v>8</v>
      </c>
      <c r="B347" s="1">
        <v>44420.69840277778</v>
      </c>
      <c r="C347" t="str">
        <f>"IB:GOODRICH SOA"</f>
        <v>IB:GOODRICH SOA</v>
      </c>
      <c r="D347" t="str">
        <f>"000226845167"</f>
        <v>000226845167</v>
      </c>
      <c r="E347" s="2">
        <v>44420</v>
      </c>
      <c r="F347" s="3">
        <v>500000</v>
      </c>
      <c r="H347" s="3">
        <v>1154049.6599999999</v>
      </c>
      <c r="I347" t="s">
        <v>30</v>
      </c>
    </row>
    <row r="348" spans="1:9" x14ac:dyDescent="0.25">
      <c r="A348">
        <v>9</v>
      </c>
      <c r="B348" s="1">
        <v>44420.698703703703</v>
      </c>
      <c r="C348" t="str">
        <f>"IB:GOODRICH SOA"</f>
        <v>IB:GOODRICH SOA</v>
      </c>
      <c r="D348" t="str">
        <f>"000226845263"</f>
        <v>000226845263</v>
      </c>
      <c r="E348" s="2">
        <v>44420</v>
      </c>
      <c r="F348" s="3">
        <v>500000</v>
      </c>
      <c r="H348" s="3">
        <v>654049.66</v>
      </c>
      <c r="I348" t="s">
        <v>30</v>
      </c>
    </row>
    <row r="349" spans="1:9" x14ac:dyDescent="0.25">
      <c r="A349">
        <v>6</v>
      </c>
      <c r="B349" s="1">
        <v>44422.64303240741</v>
      </c>
      <c r="C349" t="str">
        <f>"NEFT FDRLH21226090484 DGS LOGISTICS AND SHIPPING"</f>
        <v>NEFT FDRLH21226090484 DGS LOGISTICS AND SHIPPING</v>
      </c>
      <c r="D349" t="str">
        <f>"NEFTINW-0312445283"</f>
        <v>NEFTINW-0312445283</v>
      </c>
      <c r="E349" s="2">
        <v>44422</v>
      </c>
      <c r="G349" s="3">
        <v>150000</v>
      </c>
      <c r="H349" s="3">
        <v>804049.66</v>
      </c>
      <c r="I349" t="s">
        <v>30</v>
      </c>
    </row>
    <row r="350" spans="1:9" x14ac:dyDescent="0.25">
      <c r="A350">
        <v>7</v>
      </c>
      <c r="B350" s="1">
        <v>44424.511458333334</v>
      </c>
      <c r="C350" t="str">
        <f>"IB:BLUE OCEAN"</f>
        <v>IB:BLUE OCEAN</v>
      </c>
      <c r="D350" t="str">
        <f>"000227230974"</f>
        <v>000227230974</v>
      </c>
      <c r="E350" s="2">
        <v>44424</v>
      </c>
      <c r="F350" s="6">
        <v>119183</v>
      </c>
      <c r="H350" s="3">
        <v>684866.66</v>
      </c>
      <c r="I350" t="s">
        <v>30</v>
      </c>
    </row>
    <row r="351" spans="1:9" x14ac:dyDescent="0.25">
      <c r="A351">
        <v>8</v>
      </c>
      <c r="B351" s="1">
        <v>44424.514224537037</v>
      </c>
      <c r="C351" t="str">
        <f>"MB:Transport"</f>
        <v>MB:Transport</v>
      </c>
      <c r="D351" t="str">
        <f>"000227232107"</f>
        <v>000227232107</v>
      </c>
      <c r="E351" s="2">
        <v>44424</v>
      </c>
      <c r="F351" s="6">
        <v>1500</v>
      </c>
      <c r="H351" s="3">
        <v>683366.66</v>
      </c>
      <c r="I351" t="s">
        <v>30</v>
      </c>
    </row>
    <row r="352" spans="1:9" x14ac:dyDescent="0.25">
      <c r="A352">
        <v>9</v>
      </c>
      <c r="B352" s="1">
        <v>44425.298483796294</v>
      </c>
      <c r="C352" t="str">
        <f>"IB   HDFC                        Ref 122907975764"</f>
        <v>IB   HDFC                        Ref 122907975764</v>
      </c>
      <c r="D352" t="str">
        <f>"IMPS-122907975765"</f>
        <v>IMPS-122907975765</v>
      </c>
      <c r="E352" s="2">
        <v>44425</v>
      </c>
      <c r="F352" s="4">
        <v>27000</v>
      </c>
      <c r="H352" s="3">
        <v>656366.66</v>
      </c>
      <c r="I352" t="s">
        <v>30</v>
      </c>
    </row>
    <row r="353" spans="1:9" x14ac:dyDescent="0.25">
      <c r="A353">
        <v>2</v>
      </c>
      <c r="B353" s="1">
        <v>44425.47152777778</v>
      </c>
      <c r="C353" t="str">
        <f>"NEFT SIBLN21229227605 CHACKOS PLYWOOD MILLS P LTD"</f>
        <v>NEFT SIBLN21229227605 CHACKOS PLYWOOD MILLS P LTD</v>
      </c>
      <c r="D353" t="str">
        <f>"NEFTINW-0312892045"</f>
        <v>NEFTINW-0312892045</v>
      </c>
      <c r="E353" s="2">
        <v>44425</v>
      </c>
      <c r="G353" s="3">
        <v>26921.7</v>
      </c>
      <c r="H353" s="3">
        <v>683288.36</v>
      </c>
      <c r="I353" t="s">
        <v>30</v>
      </c>
    </row>
    <row r="354" spans="1:9" x14ac:dyDescent="0.25">
      <c r="A354">
        <v>3</v>
      </c>
      <c r="B354" s="1">
        <v>44425.47515046296</v>
      </c>
      <c r="C354" t="str">
        <f>"NEFT SBIN121229999346 ROYALGLASS SBIN0070291"</f>
        <v>NEFT SBIN121229999346 ROYALGLASS SBIN0070291</v>
      </c>
      <c r="D354" t="str">
        <f>"NEFTINW-0312887110"</f>
        <v>NEFTINW-0312887110</v>
      </c>
      <c r="E354" s="2">
        <v>44425</v>
      </c>
      <c r="G354" s="3">
        <v>101042</v>
      </c>
      <c r="H354" s="3">
        <v>784330.36</v>
      </c>
      <c r="I354" t="s">
        <v>30</v>
      </c>
    </row>
    <row r="355" spans="1:9" x14ac:dyDescent="0.25">
      <c r="A355">
        <v>4</v>
      </c>
      <c r="B355" s="1">
        <v>44425.504652777781</v>
      </c>
      <c r="C355" t="str">
        <f>"IB   TO BOB 23                   Ref 122912236622"</f>
        <v>IB   TO BOB 23                   Ref 122912236622</v>
      </c>
      <c r="D355" t="str">
        <f>"IMPS-122912236623"</f>
        <v>IMPS-122912236623</v>
      </c>
      <c r="E355" s="2">
        <v>44425</v>
      </c>
      <c r="F355" s="4">
        <v>45000</v>
      </c>
      <c r="H355" s="3">
        <v>739330.36</v>
      </c>
      <c r="I355" t="s">
        <v>30</v>
      </c>
    </row>
    <row r="356" spans="1:9" x14ac:dyDescent="0.25">
      <c r="A356">
        <v>5</v>
      </c>
      <c r="B356" s="1">
        <v>44425.603067129632</v>
      </c>
      <c r="C356" t="str">
        <f>"NEFT SBIN221229212031 AIS TRADERS SBIN0071017"</f>
        <v>NEFT SBIN221229212031 AIS TRADERS SBIN0071017</v>
      </c>
      <c r="D356" t="str">
        <f>"NEFTINW-0312948288"</f>
        <v>NEFTINW-0312948288</v>
      </c>
      <c r="E356" s="2">
        <v>44425</v>
      </c>
      <c r="G356" s="3">
        <v>26922</v>
      </c>
      <c r="H356" s="3">
        <v>766252.36</v>
      </c>
      <c r="I356" t="s">
        <v>30</v>
      </c>
    </row>
    <row r="357" spans="1:9" x14ac:dyDescent="0.25">
      <c r="A357">
        <v>6</v>
      </c>
      <c r="B357" s="1">
        <v>44425.624201388891</v>
      </c>
      <c r="C357" t="str">
        <f>"NEFT N229211604150967 PERMA SHIPPING LINE INDIA P"</f>
        <v>NEFT N229211604150967 PERMA SHIPPING LINE INDIA P</v>
      </c>
      <c r="D357" t="str">
        <f>"NEFTINW-0312967314"</f>
        <v>NEFTINW-0312967314</v>
      </c>
      <c r="E357" s="2">
        <v>44425</v>
      </c>
      <c r="G357" s="3">
        <v>40093.5</v>
      </c>
      <c r="H357" s="3">
        <v>806345.86</v>
      </c>
      <c r="I357" t="s">
        <v>30</v>
      </c>
    </row>
    <row r="358" spans="1:9" x14ac:dyDescent="0.25">
      <c r="A358">
        <v>7</v>
      </c>
      <c r="B358" s="1">
        <v>44426.288877314815</v>
      </c>
      <c r="C358" t="str">
        <f>"MB HDFC                          Ref 123006167243"</f>
        <v>MB HDFC                          Ref 123006167243</v>
      </c>
      <c r="D358" t="str">
        <f>"IMPS-123006167244"</f>
        <v>IMPS-123006167244</v>
      </c>
      <c r="E358" s="2">
        <v>44426</v>
      </c>
      <c r="F358" s="4">
        <v>65000</v>
      </c>
      <c r="H358" s="3">
        <v>741345.86</v>
      </c>
      <c r="I358" t="s">
        <v>30</v>
      </c>
    </row>
    <row r="359" spans="1:9" x14ac:dyDescent="0.25">
      <c r="A359">
        <v>8</v>
      </c>
      <c r="B359" s="1">
        <v>44426.456932870373</v>
      </c>
      <c r="C359" t="str">
        <f>"NEFT SIBLN21230340077 PANKAJ CHEMICALS SIBL000011"</f>
        <v>NEFT SIBLN21230340077 PANKAJ CHEMICALS SIBL000011</v>
      </c>
      <c r="D359" t="str">
        <f>"NEFTINW-0313199634"</f>
        <v>NEFTINW-0313199634</v>
      </c>
      <c r="E359" s="2">
        <v>44426</v>
      </c>
      <c r="G359" s="3">
        <v>27511.7</v>
      </c>
      <c r="H359" s="3">
        <v>768857.56</v>
      </c>
      <c r="I359" t="s">
        <v>30</v>
      </c>
    </row>
    <row r="360" spans="1:9" x14ac:dyDescent="0.25">
      <c r="A360">
        <v>9</v>
      </c>
      <c r="B360" s="1">
        <v>44426.459108796298</v>
      </c>
      <c r="C360" t="str">
        <f>"NEFT SIBLN21230340047 PANKAJ CHEMICALS SIBL000011"</f>
        <v>NEFT SIBLN21230340047 PANKAJ CHEMICALS SIBL000011</v>
      </c>
      <c r="D360" t="str">
        <f>"NEFTINW-0313196596"</f>
        <v>NEFTINW-0313196596</v>
      </c>
      <c r="E360" s="2">
        <v>44426</v>
      </c>
      <c r="G360" s="3">
        <v>26921.7</v>
      </c>
      <c r="H360" s="3">
        <v>795779.26</v>
      </c>
      <c r="I360" t="s">
        <v>30</v>
      </c>
    </row>
    <row r="361" spans="1:9" x14ac:dyDescent="0.25">
      <c r="A361">
        <v>10</v>
      </c>
      <c r="B361" s="1">
        <v>44426.530624999999</v>
      </c>
      <c r="C361" t="str">
        <f>"NEFT 000345242278 SEVANA MEDINEEDS PVT LTD UBIN05"</f>
        <v>NEFT 000345242278 SEVANA MEDINEEDS PVT LTD UBIN05</v>
      </c>
      <c r="D361" t="str">
        <f>"NEFTINW-0313211541"</f>
        <v>NEFTINW-0313211541</v>
      </c>
      <c r="E361" s="2">
        <v>44426</v>
      </c>
      <c r="G361" s="3">
        <v>26465.7</v>
      </c>
      <c r="H361" s="3">
        <v>822244.96</v>
      </c>
      <c r="I361" t="s">
        <v>30</v>
      </c>
    </row>
    <row r="362" spans="1:9" x14ac:dyDescent="0.25">
      <c r="A362">
        <v>11</v>
      </c>
      <c r="B362" s="1">
        <v>44426.541608796295</v>
      </c>
      <c r="C362" t="str">
        <f>"NEFT AXIC212304387011 OCEANAIR LOGISTICS UTIB0004"</f>
        <v>NEFT AXIC212304387011 OCEANAIR LOGISTICS UTIB0004</v>
      </c>
      <c r="D362" t="str">
        <f>"NEFTINW-0313231232"</f>
        <v>NEFTINW-0313231232</v>
      </c>
      <c r="E362" s="2">
        <v>44426</v>
      </c>
      <c r="G362" s="3">
        <v>22428.26</v>
      </c>
      <c r="H362" s="3">
        <v>844673.22</v>
      </c>
      <c r="I362" t="s">
        <v>30</v>
      </c>
    </row>
    <row r="363" spans="1:9" x14ac:dyDescent="0.25">
      <c r="A363">
        <v>12</v>
      </c>
      <c r="B363" s="1">
        <v>44426.754421296297</v>
      </c>
      <c r="C363" t="str">
        <f>"NEFT CMS2082747692 ABRECO FREIGHT PRIVATE LIMITED"</f>
        <v>NEFT CMS2082747692 ABRECO FREIGHT PRIVATE LIMITED</v>
      </c>
      <c r="D363" t="str">
        <f>"NEFTINW-0313373167"</f>
        <v>NEFTINW-0313373167</v>
      </c>
      <c r="E363" s="2">
        <v>44426</v>
      </c>
      <c r="G363" s="3">
        <v>47018</v>
      </c>
      <c r="H363" s="3">
        <v>891691.22</v>
      </c>
      <c r="I363" t="s">
        <v>30</v>
      </c>
    </row>
    <row r="364" spans="1:9" x14ac:dyDescent="0.25">
      <c r="A364">
        <v>7</v>
      </c>
      <c r="B364" s="1">
        <v>44427.406273148146</v>
      </c>
      <c r="C364" t="str">
        <f>"IB   HDFC                        Ref 123109399746"</f>
        <v>IB   HDFC                        Ref 123109399746</v>
      </c>
      <c r="D364" t="str">
        <f>"IMPS-123109399750"</f>
        <v>IMPS-123109399750</v>
      </c>
      <c r="E364" s="2">
        <v>44427</v>
      </c>
      <c r="F364" s="3">
        <v>65000</v>
      </c>
      <c r="H364" s="3">
        <v>826691.22</v>
      </c>
      <c r="I364" t="s">
        <v>30</v>
      </c>
    </row>
    <row r="365" spans="1:9" x14ac:dyDescent="0.25">
      <c r="A365">
        <v>8</v>
      </c>
      <c r="B365" s="1">
        <v>44427.44427083333</v>
      </c>
      <c r="C365" t="str">
        <f>"RTGS FDRLR52021081933352678 CUBES INTERNATIONAL"</f>
        <v>RTGS FDRLR52021081933352678 CUBES INTERNATIONAL</v>
      </c>
      <c r="D365" t="str">
        <f>"RTGSINW-0041207478"</f>
        <v>RTGSINW-0041207478</v>
      </c>
      <c r="E365" s="2">
        <v>44427</v>
      </c>
      <c r="G365" s="3">
        <v>218016</v>
      </c>
      <c r="H365" s="3">
        <v>1044707.22</v>
      </c>
      <c r="I365" t="s">
        <v>30</v>
      </c>
    </row>
    <row r="366" spans="1:9" x14ac:dyDescent="0.25">
      <c r="A366">
        <v>3</v>
      </c>
      <c r="B366" s="1">
        <v>44428.382430555554</v>
      </c>
      <c r="C366" t="str">
        <f>"MB HDFC                          Ref 123209526294"</f>
        <v>MB HDFC                          Ref 123209526294</v>
      </c>
      <c r="D366" t="str">
        <f>"IMPS-123209526296"</f>
        <v>IMPS-123209526296</v>
      </c>
      <c r="E366" s="2">
        <v>44428</v>
      </c>
      <c r="F366" s="3">
        <v>3000</v>
      </c>
      <c r="H366" s="3">
        <v>1041707.22</v>
      </c>
      <c r="I366" t="s">
        <v>30</v>
      </c>
    </row>
    <row r="367" spans="1:9" x14ac:dyDescent="0.25">
      <c r="A367">
        <v>4</v>
      </c>
      <c r="B367" s="1">
        <v>44428.555752314816</v>
      </c>
      <c r="C367" t="str">
        <f>"BY CLG INST 518932/11-08-21/SBI/KOCHI"</f>
        <v>BY CLG INST 518932/11-08-21/SBI/KOCHI</v>
      </c>
      <c r="D367" t="str">
        <f>""</f>
        <v/>
      </c>
      <c r="E367" s="2">
        <v>44428</v>
      </c>
      <c r="G367" s="3">
        <v>152357</v>
      </c>
      <c r="H367" s="3">
        <v>1194064.22</v>
      </c>
      <c r="I367" t="s">
        <v>30</v>
      </c>
    </row>
    <row r="368" spans="1:9" x14ac:dyDescent="0.25">
      <c r="A368">
        <v>5</v>
      </c>
      <c r="B368" s="1">
        <v>44431.40353009259</v>
      </c>
      <c r="C368" t="str">
        <f>"TRANSFER"</f>
        <v>TRANSFER</v>
      </c>
      <c r="D368" t="str">
        <f>"IB"</f>
        <v>IB</v>
      </c>
      <c r="E368" s="2">
        <v>44431</v>
      </c>
      <c r="F368" s="3">
        <v>300000</v>
      </c>
      <c r="H368" s="3">
        <v>894064.22</v>
      </c>
      <c r="I368" t="s">
        <v>30</v>
      </c>
    </row>
    <row r="369" spans="1:9" x14ac:dyDescent="0.25">
      <c r="A369">
        <v>2</v>
      </c>
      <c r="B369" s="1">
        <v>44431.602222222224</v>
      </c>
      <c r="C369" t="str">
        <f>"Received from KERA XX1674 IMPS The Federa"</f>
        <v>Received from KERA XX1674 IMPS The Federa</v>
      </c>
      <c r="D369" t="str">
        <f>"IMPS-123514564843"</f>
        <v>IMPS-123514564843</v>
      </c>
      <c r="E369" s="2">
        <v>44431</v>
      </c>
      <c r="G369" s="3">
        <v>36359</v>
      </c>
      <c r="H369" s="3">
        <v>930423.22</v>
      </c>
      <c r="I369" t="s">
        <v>30</v>
      </c>
    </row>
    <row r="370" spans="1:9" s="5" customFormat="1" x14ac:dyDescent="0.25">
      <c r="A370" s="5">
        <v>3</v>
      </c>
      <c r="B370" s="7">
        <v>44432.39607638889</v>
      </c>
      <c r="C370" s="5" t="str">
        <f>"IB   HDFC                        Ref 123609191300"</f>
        <v>IB   HDFC                        Ref 123609191300</v>
      </c>
      <c r="D370" s="5" t="str">
        <f>"IMPS-123609191301"</f>
        <v>IMPS-123609191301</v>
      </c>
      <c r="E370" s="8">
        <v>44432</v>
      </c>
      <c r="F370" s="4">
        <v>70000</v>
      </c>
      <c r="H370" s="4">
        <v>860423.22</v>
      </c>
      <c r="I370" s="5" t="s">
        <v>30</v>
      </c>
    </row>
    <row r="371" spans="1:9" x14ac:dyDescent="0.25">
      <c r="A371">
        <v>2</v>
      </c>
      <c r="B371" s="1">
        <v>44433.305520833332</v>
      </c>
      <c r="C371" t="str">
        <f>"IB: FUND TRANSFER FROM SHIPMENT SOLUTIONS PRIVATE"</f>
        <v>IB: FUND TRANSFER FROM SHIPMENT SOLUTIONS PRIVATE</v>
      </c>
      <c r="D371" t="str">
        <f>"IB"</f>
        <v>IB</v>
      </c>
      <c r="E371" s="2">
        <v>44433</v>
      </c>
      <c r="G371" s="3">
        <v>300000</v>
      </c>
      <c r="H371" s="3">
        <v>1160423.22</v>
      </c>
      <c r="I371" t="s">
        <v>30</v>
      </c>
    </row>
    <row r="372" spans="1:9" x14ac:dyDescent="0.25">
      <c r="A372">
        <v>3</v>
      </c>
      <c r="B372" s="1">
        <v>44433.45684027778</v>
      </c>
      <c r="C372" t="str">
        <f>"NEFT SAA282162978 AMAZING RUBBER PRODU UCBA000139"</f>
        <v>NEFT SAA282162978 AMAZING RUBBER PRODU UCBA000139</v>
      </c>
      <c r="D372" t="str">
        <f>"NEFTINW-0314854689"</f>
        <v>NEFTINW-0314854689</v>
      </c>
      <c r="E372" s="2">
        <v>44433</v>
      </c>
      <c r="G372" s="3">
        <v>22358</v>
      </c>
      <c r="H372" s="3">
        <v>1182781.22</v>
      </c>
      <c r="I372" t="s">
        <v>30</v>
      </c>
    </row>
    <row r="373" spans="1:9" x14ac:dyDescent="0.25">
      <c r="A373">
        <v>4</v>
      </c>
      <c r="B373" s="1">
        <v>44433.76053240741</v>
      </c>
      <c r="C373" t="str">
        <f>"NEFT 123701804GN00009 SCHENKER INDIA PVT LTD DEUT"</f>
        <v>NEFT 123701804GN00009 SCHENKER INDIA PVT LTD DEUT</v>
      </c>
      <c r="D373" t="str">
        <f>"NEFTINW-0315048845"</f>
        <v>NEFTINW-0315048845</v>
      </c>
      <c r="E373" s="2">
        <v>44433</v>
      </c>
      <c r="G373" s="3">
        <v>1268.92</v>
      </c>
      <c r="H373" s="3">
        <v>1184050.1399999999</v>
      </c>
      <c r="I373" t="s">
        <v>30</v>
      </c>
    </row>
    <row r="374" spans="1:9" s="5" customFormat="1" x14ac:dyDescent="0.25">
      <c r="A374" s="5">
        <v>4</v>
      </c>
      <c r="B374" s="7">
        <v>44434.436099537037</v>
      </c>
      <c r="C374" s="5" t="str">
        <f>"MB HDFC                          Ref 123810306926"</f>
        <v>MB HDFC                          Ref 123810306926</v>
      </c>
      <c r="D374" s="5" t="str">
        <f>"IMPS-123810306927"</f>
        <v>IMPS-123810306927</v>
      </c>
      <c r="E374" s="8">
        <v>44434</v>
      </c>
      <c r="F374" s="4">
        <v>130000</v>
      </c>
      <c r="H374" s="4">
        <v>1054050.1399999999</v>
      </c>
      <c r="I374" s="5" t="s">
        <v>30</v>
      </c>
    </row>
    <row r="375" spans="1:9" x14ac:dyDescent="0.25">
      <c r="A375">
        <v>5</v>
      </c>
      <c r="B375" s="1">
        <v>44434.492523148147</v>
      </c>
      <c r="C375" t="str">
        <f>"SIBIN REIMBURSED"</f>
        <v>SIBIN REIMBURSED</v>
      </c>
      <c r="D375" t="str">
        <f>"IB"</f>
        <v>IB</v>
      </c>
      <c r="E375" s="2">
        <v>44434</v>
      </c>
      <c r="F375" s="3">
        <v>13069</v>
      </c>
      <c r="H375" s="3">
        <v>1040981.14</v>
      </c>
      <c r="I375" t="s">
        <v>30</v>
      </c>
    </row>
    <row r="376" spans="1:9" x14ac:dyDescent="0.25">
      <c r="A376">
        <v>6</v>
      </c>
      <c r="B376" s="1">
        <v>44434.549004629633</v>
      </c>
      <c r="C376" t="str">
        <f>"PRIDEL TR"</f>
        <v>PRIDEL TR</v>
      </c>
      <c r="D376" t="str">
        <f>"FCM-21082602H26K"</f>
        <v>FCM-21082602H26K</v>
      </c>
      <c r="E376" s="2">
        <v>44434</v>
      </c>
      <c r="G376" s="3">
        <v>42481.7</v>
      </c>
      <c r="H376" s="3">
        <v>1083462.8400000001</v>
      </c>
      <c r="I376" t="s">
        <v>30</v>
      </c>
    </row>
    <row r="377" spans="1:9" x14ac:dyDescent="0.25">
      <c r="A377">
        <v>7</v>
      </c>
      <c r="B377" s="1">
        <v>44434.551168981481</v>
      </c>
      <c r="C377" t="str">
        <f>"BY CLG INST 855072/24-06-21/IOB/KOCHI"</f>
        <v>BY CLG INST 855072/24-06-21/IOB/KOCHI</v>
      </c>
      <c r="D377" t="str">
        <f>""</f>
        <v/>
      </c>
      <c r="E377" s="2">
        <v>44434</v>
      </c>
      <c r="G377" s="3">
        <v>42230</v>
      </c>
      <c r="H377" s="3">
        <v>1125692.8400000001</v>
      </c>
      <c r="I377" t="s">
        <v>30</v>
      </c>
    </row>
    <row r="378" spans="1:9" x14ac:dyDescent="0.25">
      <c r="A378">
        <v>8</v>
      </c>
      <c r="B378" s="1">
        <v>44434.581030092595</v>
      </c>
      <c r="C378" t="str">
        <f>"NEFT 000350603257 SEVANA MEDINEEDS PVT LTD UBIN05"</f>
        <v>NEFT 000350603257 SEVANA MEDINEEDS PVT LTD UBIN05</v>
      </c>
      <c r="D378" t="str">
        <f>"NEFTINW-0315220819"</f>
        <v>NEFTINW-0315220819</v>
      </c>
      <c r="E378" s="2">
        <v>44434</v>
      </c>
      <c r="G378" s="3">
        <v>2724.08</v>
      </c>
      <c r="H378" s="3">
        <v>1128416.92</v>
      </c>
      <c r="I378" t="s">
        <v>30</v>
      </c>
    </row>
    <row r="379" spans="1:9" x14ac:dyDescent="0.25">
      <c r="A379">
        <v>9</v>
      </c>
      <c r="B379" s="1">
        <v>44434.689421296294</v>
      </c>
      <c r="C379" t="str">
        <f>"NEFT SIN13876Q0100656 M S EXPO FREIGHT PVT SCBL00"</f>
        <v>NEFT SIN13876Q0100656 M S EXPO FREIGHT PVT SCBL00</v>
      </c>
      <c r="D379" t="str">
        <f>"NEFTINW-0315282033"</f>
        <v>NEFTINW-0315282033</v>
      </c>
      <c r="E379" s="2">
        <v>44434</v>
      </c>
      <c r="G379" s="3">
        <v>124207</v>
      </c>
      <c r="H379" s="3">
        <v>1252623.92</v>
      </c>
      <c r="I379" t="s">
        <v>30</v>
      </c>
    </row>
    <row r="380" spans="1:9" x14ac:dyDescent="0.25">
      <c r="A380">
        <v>10</v>
      </c>
      <c r="B380" s="1">
        <v>44434.690335648149</v>
      </c>
      <c r="C380" t="str">
        <f>"NEFT SAA282379183 AMAZING RUBBER PRODU UCBA000139"</f>
        <v>NEFT SAA282379183 AMAZING RUBBER PRODU UCBA000139</v>
      </c>
      <c r="D380" t="str">
        <f>"NEFTINW-0315282188"</f>
        <v>NEFTINW-0315282188</v>
      </c>
      <c r="E380" s="2">
        <v>44434</v>
      </c>
      <c r="G380" s="3">
        <v>22358</v>
      </c>
      <c r="H380" s="3">
        <v>1274981.92</v>
      </c>
      <c r="I380" t="s">
        <v>30</v>
      </c>
    </row>
    <row r="381" spans="1:9" x14ac:dyDescent="0.25">
      <c r="A381">
        <v>8</v>
      </c>
      <c r="B381" s="1">
        <v>44435.178819444445</v>
      </c>
      <c r="C381" t="str">
        <f>"NEFT SBIN421239531776 ROYALGLASS SBIN0070291"</f>
        <v>NEFT SBIN421239531776 ROYALGLASS SBIN0070291</v>
      </c>
      <c r="D381" t="str">
        <f>"NEFTINW-0315414947"</f>
        <v>NEFTINW-0315414947</v>
      </c>
      <c r="E381" s="2">
        <v>44435</v>
      </c>
      <c r="G381" s="3">
        <v>18560</v>
      </c>
      <c r="H381" s="3">
        <v>1293541.92</v>
      </c>
      <c r="I381" t="s">
        <v>30</v>
      </c>
    </row>
    <row r="382" spans="1:9" x14ac:dyDescent="0.25">
      <c r="A382">
        <v>9</v>
      </c>
      <c r="B382" s="1">
        <v>44435.626550925925</v>
      </c>
      <c r="C382" t="str">
        <f>"IB:GLPL SOA"</f>
        <v>IB:GLPL SOA</v>
      </c>
      <c r="D382" t="str">
        <f>"000228884554"</f>
        <v>000228884554</v>
      </c>
      <c r="E382" s="2">
        <v>44435</v>
      </c>
      <c r="F382" s="3">
        <v>500000</v>
      </c>
      <c r="H382" s="3">
        <v>793541.92</v>
      </c>
      <c r="I382" t="s">
        <v>30</v>
      </c>
    </row>
    <row r="383" spans="1:9" x14ac:dyDescent="0.25">
      <c r="A383">
        <v>10</v>
      </c>
      <c r="B383" s="1">
        <v>44435.700798611113</v>
      </c>
      <c r="C383" t="str">
        <f>"RTGS IDIBR52021082724708751 ALLCARGO LOGISTICS"</f>
        <v>RTGS IDIBR52021082724708751 ALLCARGO LOGISTICS</v>
      </c>
      <c r="D383" t="str">
        <f>"RTGSINW-0041451438"</f>
        <v>RTGSINW-0041451438</v>
      </c>
      <c r="E383" s="2">
        <v>44435</v>
      </c>
      <c r="G383" s="3">
        <v>301518.68</v>
      </c>
      <c r="H383" s="3">
        <v>1095060.6000000001</v>
      </c>
      <c r="I383" t="s">
        <v>30</v>
      </c>
    </row>
    <row r="384" spans="1:9" x14ac:dyDescent="0.25">
      <c r="A384">
        <v>11</v>
      </c>
      <c r="B384" s="1">
        <v>44435.732743055552</v>
      </c>
      <c r="C384" t="str">
        <f>"NEFT 24851485131DC NILJA SHIPPING PRIVA ICIC0SF00"</f>
        <v>NEFT 24851485131DC NILJA SHIPPING PRIVA ICIC0SF00</v>
      </c>
      <c r="D384" t="str">
        <f>"NEFTINW-0315611140"</f>
        <v>NEFTINW-0315611140</v>
      </c>
      <c r="E384" s="2">
        <v>44435</v>
      </c>
      <c r="G384" s="3">
        <v>1680</v>
      </c>
      <c r="H384" s="3">
        <v>1096740.6000000001</v>
      </c>
      <c r="I384" t="s">
        <v>30</v>
      </c>
    </row>
    <row r="385" spans="1:9" s="5" customFormat="1" x14ac:dyDescent="0.25">
      <c r="A385" s="5">
        <v>5</v>
      </c>
      <c r="B385" s="7">
        <v>44436.450624999998</v>
      </c>
      <c r="C385" s="5" t="str">
        <f>"MB HDFC                          Ref 124010521716"</f>
        <v>MB HDFC                          Ref 124010521716</v>
      </c>
      <c r="D385" s="5" t="str">
        <f>"IMPS-124010521717"</f>
        <v>IMPS-124010521717</v>
      </c>
      <c r="E385" s="8">
        <v>44436</v>
      </c>
      <c r="F385" s="4">
        <v>20000</v>
      </c>
      <c r="H385" s="4">
        <v>1076740.6000000001</v>
      </c>
      <c r="I385" s="5" t="s">
        <v>30</v>
      </c>
    </row>
    <row r="386" spans="1:9" s="5" customFormat="1" x14ac:dyDescent="0.25">
      <c r="A386" s="5">
        <v>6</v>
      </c>
      <c r="B386" s="7">
        <v>44438.643541666665</v>
      </c>
      <c r="C386" s="5" t="str">
        <f>"MB BOB 23                        Ref 124215733044"</f>
        <v>MB BOB 23                        Ref 124215733044</v>
      </c>
      <c r="D386" s="5" t="str">
        <f>"IMPS-124215733046"</f>
        <v>IMPS-124215733046</v>
      </c>
      <c r="E386" s="8">
        <v>44438</v>
      </c>
      <c r="F386" s="4">
        <v>10000</v>
      </c>
      <c r="H386" s="4">
        <v>1066740.6000000001</v>
      </c>
      <c r="I386" s="5" t="s">
        <v>30</v>
      </c>
    </row>
    <row r="387" spans="1:9" s="5" customFormat="1" x14ac:dyDescent="0.25">
      <c r="A387" s="5">
        <v>7</v>
      </c>
      <c r="B387" s="7">
        <v>44438.680532407408</v>
      </c>
      <c r="C387" s="5" t="str">
        <f>"MB:TO PAY SOME ONE"</f>
        <v>MB:TO PAY SOME ONE</v>
      </c>
      <c r="D387" s="5" t="str">
        <f>"MB-999224271657"</f>
        <v>MB-999224271657</v>
      </c>
      <c r="E387" s="8">
        <v>44438</v>
      </c>
      <c r="F387" s="4">
        <v>7550</v>
      </c>
      <c r="H387" s="4">
        <v>1059190.6000000001</v>
      </c>
      <c r="I387" s="5" t="s">
        <v>30</v>
      </c>
    </row>
    <row r="388" spans="1:9" s="5" customFormat="1" x14ac:dyDescent="0.25">
      <c r="A388" s="5">
        <v>3</v>
      </c>
      <c r="B388" s="7">
        <v>44439.510185185187</v>
      </c>
      <c r="C388" s="5" t="str">
        <f>"CASH WITHDRAWALRENJITH AT ERNAKULAM BRANCH"</f>
        <v>CASH WITHDRAWALRENJITH AT ERNAKULAM BRANCH</v>
      </c>
      <c r="D388" s="5" t="str">
        <f>"162"</f>
        <v>162</v>
      </c>
      <c r="E388" s="8">
        <v>44439</v>
      </c>
      <c r="F388" s="4">
        <v>15000</v>
      </c>
      <c r="H388" s="4">
        <v>1044190.6</v>
      </c>
      <c r="I388" s="5" t="s">
        <v>30</v>
      </c>
    </row>
    <row r="389" spans="1:9" x14ac:dyDescent="0.25">
      <c r="A389">
        <v>4</v>
      </c>
      <c r="B389" s="1">
        <v>44439.547280092593</v>
      </c>
      <c r="C389" t="str">
        <f>"SALARY DISBURSEMENTS"</f>
        <v>SALARY DISBURSEMENTS</v>
      </c>
      <c r="D389" t="str">
        <f>"161"</f>
        <v>161</v>
      </c>
      <c r="E389" s="2">
        <v>44439</v>
      </c>
      <c r="F389" s="3">
        <v>83684</v>
      </c>
      <c r="H389" s="3">
        <v>960506.6</v>
      </c>
      <c r="I389" t="s">
        <v>30</v>
      </c>
    </row>
    <row r="390" spans="1:9" x14ac:dyDescent="0.25">
      <c r="A390">
        <v>5</v>
      </c>
      <c r="B390" s="1">
        <v>44439.587916666664</v>
      </c>
      <c r="C390" t="str">
        <f>"NEFT SIBLN21243274099 PANKAJ CHEMICALS SIBL000011"</f>
        <v>NEFT SIBLN21243274099 PANKAJ CHEMICALS SIBL000011</v>
      </c>
      <c r="D390" t="str">
        <f>"NEFTINW-0316425292"</f>
        <v>NEFTINW-0316425292</v>
      </c>
      <c r="E390" s="2">
        <v>44439</v>
      </c>
      <c r="G390" s="3">
        <v>6258.25</v>
      </c>
      <c r="H390" s="3">
        <v>966764.85</v>
      </c>
      <c r="I390" t="s">
        <v>30</v>
      </c>
    </row>
    <row r="391" spans="1:9" x14ac:dyDescent="0.25">
      <c r="A391">
        <v>6</v>
      </c>
      <c r="B391" s="1">
        <v>44439.589675925927</v>
      </c>
      <c r="C391" t="str">
        <f>"NEFT SAA282888562 AMAZING RUBBER PRODU UCBA000139"</f>
        <v>NEFT SAA282888562 AMAZING RUBBER PRODU UCBA000139</v>
      </c>
      <c r="D391" t="str">
        <f>"NEFTINW-0316421091"</f>
        <v>NEFTINW-0316421091</v>
      </c>
      <c r="E391" s="2">
        <v>44439</v>
      </c>
      <c r="G391" s="3">
        <v>1768</v>
      </c>
      <c r="H391" s="3">
        <v>968532.85</v>
      </c>
      <c r="I391" t="s">
        <v>30</v>
      </c>
    </row>
    <row r="392" spans="1:9" s="5" customFormat="1" x14ac:dyDescent="0.25">
      <c r="A392" s="5">
        <v>7</v>
      </c>
      <c r="B392" s="7">
        <v>44439.668298611112</v>
      </c>
      <c r="C392" s="5" t="str">
        <f>"MB:TO 1048"</f>
        <v>MB:TO 1048</v>
      </c>
      <c r="D392" s="5" t="str">
        <f>"MB-999223757075"</f>
        <v>MB-999223757075</v>
      </c>
      <c r="E392" s="8">
        <v>44439</v>
      </c>
      <c r="F392" s="4">
        <v>500000</v>
      </c>
      <c r="H392" s="4">
        <v>468532.85</v>
      </c>
      <c r="I392" s="5" t="s">
        <v>30</v>
      </c>
    </row>
    <row r="393" spans="1:9" x14ac:dyDescent="0.25">
      <c r="A393">
        <v>8</v>
      </c>
      <c r="B393" s="1">
        <v>44439.670937499999</v>
      </c>
      <c r="C393" t="str">
        <f>"NEFT FDRLH21243126590 FAIR EXPORTS INDIA PVT LTD"</f>
        <v>NEFT FDRLH21243126590 FAIR EXPORTS INDIA PVT LTD</v>
      </c>
      <c r="D393" t="str">
        <f>"NEFTINW-0316503180"</f>
        <v>NEFTINW-0316503180</v>
      </c>
      <c r="E393" s="2">
        <v>44439</v>
      </c>
      <c r="G393" s="3">
        <v>150312.5</v>
      </c>
      <c r="H393" s="3">
        <v>618845.35</v>
      </c>
      <c r="I393" t="s">
        <v>30</v>
      </c>
    </row>
    <row r="394" spans="1:9" s="5" customFormat="1" x14ac:dyDescent="0.25">
      <c r="A394" s="5">
        <v>9</v>
      </c>
      <c r="B394" s="7">
        <v>44439.691122685188</v>
      </c>
      <c r="C394" s="5" t="str">
        <f>"MB:HARI REPAID"</f>
        <v>MB:HARI REPAID</v>
      </c>
      <c r="D394" s="5" t="str">
        <f>"MB-999223736133"</f>
        <v>MB-999223736133</v>
      </c>
      <c r="E394" s="8">
        <v>44439</v>
      </c>
      <c r="F394" s="4">
        <v>30960</v>
      </c>
      <c r="H394" s="4">
        <v>587885.35</v>
      </c>
      <c r="I394" s="5" t="s">
        <v>30</v>
      </c>
    </row>
    <row r="395" spans="1:9" s="5" customFormat="1" x14ac:dyDescent="0.25">
      <c r="A395" s="5">
        <v>10</v>
      </c>
      <c r="B395" s="7">
        <v>44439.692499999997</v>
      </c>
      <c r="C395" s="5" t="str">
        <f>"MB:CAROL CONVEYANCE"</f>
        <v>MB:CAROL CONVEYANCE</v>
      </c>
      <c r="D395" s="5" t="str">
        <f>"MB-999223734878"</f>
        <v>MB-999223734878</v>
      </c>
      <c r="E395" s="8">
        <v>44439</v>
      </c>
      <c r="F395" s="4">
        <v>2500</v>
      </c>
      <c r="H395" s="4">
        <v>585385.35</v>
      </c>
      <c r="I395" s="5" t="s">
        <v>30</v>
      </c>
    </row>
    <row r="396" spans="1:9" s="5" customFormat="1" x14ac:dyDescent="0.25">
      <c r="A396" s="5">
        <v>11</v>
      </c>
      <c r="B396" s="7">
        <v>44439.712997685187</v>
      </c>
      <c r="C396" s="5" t="str">
        <f>"MB ASWIN STIPEND                 Ref 124317113919"</f>
        <v>MB ASWIN STIPEND                 Ref 124317113919</v>
      </c>
      <c r="D396" s="5" t="str">
        <f>"IMPS-124317113920"</f>
        <v>IMPS-124317113920</v>
      </c>
      <c r="E396" s="8">
        <v>44439</v>
      </c>
      <c r="F396" s="4">
        <v>10000</v>
      </c>
      <c r="H396" s="4">
        <v>575385.35</v>
      </c>
      <c r="I396" s="5" t="s">
        <v>30</v>
      </c>
    </row>
    <row r="397" spans="1:9" x14ac:dyDescent="0.25">
      <c r="A397">
        <v>12</v>
      </c>
      <c r="B397" s="1">
        <v>44439.77</v>
      </c>
      <c r="C397" t="str">
        <f>"NEFT SBIN221243328690 ROYALGLASS SBIN0070291"</f>
        <v>NEFT SBIN221243328690 ROYALGLASS SBIN0070291</v>
      </c>
      <c r="D397" t="str">
        <f>"NEFTINW-0316602355"</f>
        <v>NEFTINW-0316602355</v>
      </c>
      <c r="E397" s="2">
        <v>44439</v>
      </c>
      <c r="G397" s="3">
        <v>135858</v>
      </c>
      <c r="H397" s="3">
        <v>711243.35</v>
      </c>
      <c r="I397" t="s">
        <v>30</v>
      </c>
    </row>
    <row r="398" spans="1:9" x14ac:dyDescent="0.25">
      <c r="A398">
        <v>13</v>
      </c>
      <c r="B398" s="1">
        <v>44439.771655092591</v>
      </c>
      <c r="C398" t="str">
        <f>"NEFT SBIN221243329267 ROYALGLASS SBIN0070291"</f>
        <v>NEFT SBIN221243329267 ROYALGLASS SBIN0070291</v>
      </c>
      <c r="D398" t="str">
        <f>"NEFTINW-0316612193"</f>
        <v>NEFTINW-0316612193</v>
      </c>
      <c r="E398" s="2">
        <v>44439</v>
      </c>
      <c r="G398" s="3">
        <v>37155</v>
      </c>
      <c r="H398" s="3">
        <v>748398.35</v>
      </c>
      <c r="I398" t="s">
        <v>30</v>
      </c>
    </row>
    <row r="399" spans="1:9" x14ac:dyDescent="0.25">
      <c r="A399">
        <v>14</v>
      </c>
      <c r="B399" s="1">
        <v>44439.799421296295</v>
      </c>
      <c r="C399" t="str">
        <f>"NEFT SBIN221243437670 UNITED SEAFOODS SBIN0004063"</f>
        <v>NEFT SBIN221243437670 UNITED SEAFOODS SBIN0004063</v>
      </c>
      <c r="D399" t="str">
        <f>"NEFTINW-0316631879"</f>
        <v>NEFTINW-0316631879</v>
      </c>
      <c r="E399" s="2">
        <v>44439</v>
      </c>
      <c r="G399" s="3">
        <v>84995</v>
      </c>
      <c r="H399" s="3">
        <v>833393.35</v>
      </c>
      <c r="I399" t="s">
        <v>30</v>
      </c>
    </row>
    <row r="400" spans="1:9" x14ac:dyDescent="0.25">
      <c r="A400">
        <v>15</v>
      </c>
      <c r="B400" s="1">
        <v>44439.814930555556</v>
      </c>
      <c r="C400" t="str">
        <f>"NEFT 000360656031 NAVIO SHIPPING PVT LTD INDB0000"</f>
        <v>NEFT 000360656031 NAVIO SHIPPING PVT LTD INDB0000</v>
      </c>
      <c r="D400" t="str">
        <f>"NEFTINW-0316647333"</f>
        <v>NEFTINW-0316647333</v>
      </c>
      <c r="E400" s="2">
        <v>44439</v>
      </c>
      <c r="G400" s="3">
        <v>99847</v>
      </c>
      <c r="H400" s="3">
        <v>933240.35</v>
      </c>
      <c r="I400" t="s">
        <v>30</v>
      </c>
    </row>
    <row r="401" spans="1:9" s="9" customFormat="1" x14ac:dyDescent="0.25">
      <c r="B401" s="10"/>
      <c r="E401" s="11"/>
      <c r="G401" s="12"/>
      <c r="H401" s="12"/>
    </row>
    <row r="402" spans="1:9" s="5" customFormat="1" x14ac:dyDescent="0.25">
      <c r="A402" s="5">
        <v>14</v>
      </c>
      <c r="B402" s="7">
        <v>44440.401296296295</v>
      </c>
      <c r="C402" s="5" t="str">
        <f>"MB HDFC                          Ref 124409870819"</f>
        <v>MB HDFC                          Ref 124409870819</v>
      </c>
      <c r="D402" s="5" t="str">
        <f>"IMPS-124409870820"</f>
        <v>IMPS-124409870820</v>
      </c>
      <c r="E402" s="8">
        <v>44440</v>
      </c>
      <c r="F402" s="4">
        <v>150000</v>
      </c>
      <c r="H402" s="4">
        <v>783240.35</v>
      </c>
      <c r="I402" s="5" t="s">
        <v>30</v>
      </c>
    </row>
    <row r="403" spans="1:9" x14ac:dyDescent="0.25">
      <c r="A403">
        <v>15</v>
      </c>
      <c r="B403" s="1">
        <v>44440.452048611114</v>
      </c>
      <c r="C403" t="str">
        <f>"NEFT NRE REM MANOJ KUMAR S P244210124957071 CNRB0"</f>
        <v>NEFT NRE REM MANOJ KUMAR S P244210124957071 CNRB0</v>
      </c>
      <c r="D403" t="str">
        <f>"NEFTINW-0316818975"</f>
        <v>NEFTINW-0316818975</v>
      </c>
      <c r="E403" s="2">
        <v>44440</v>
      </c>
      <c r="G403" s="3">
        <v>21257.7</v>
      </c>
      <c r="H403" s="3">
        <v>804498.05</v>
      </c>
      <c r="I403" t="s">
        <v>30</v>
      </c>
    </row>
    <row r="404" spans="1:9" x14ac:dyDescent="0.25">
      <c r="A404">
        <v>16</v>
      </c>
      <c r="B404" s="1">
        <v>44440.497627314813</v>
      </c>
      <c r="C404" t="str">
        <f>"NEFT SIBLN21244386104 PANKAJ CHEMICALS SIBL000011"</f>
        <v>NEFT SIBLN21244386104 PANKAJ CHEMICALS SIBL000011</v>
      </c>
      <c r="D404" t="str">
        <f>"NEFTINW-0316837044"</f>
        <v>NEFTINW-0316837044</v>
      </c>
      <c r="E404" s="2">
        <v>44440</v>
      </c>
      <c r="G404" s="3">
        <v>7366.74</v>
      </c>
      <c r="H404" s="3">
        <v>811864.79</v>
      </c>
      <c r="I404" t="s">
        <v>30</v>
      </c>
    </row>
    <row r="405" spans="1:9" x14ac:dyDescent="0.25">
      <c r="A405">
        <v>17</v>
      </c>
      <c r="B405" s="1">
        <v>44440.561342592591</v>
      </c>
      <c r="C405" t="str">
        <f>"BY CLG INST 855088/26-08-21/IOB/KOCHI"</f>
        <v>BY CLG INST 855088/26-08-21/IOB/KOCHI</v>
      </c>
      <c r="D405" t="str">
        <f>""</f>
        <v/>
      </c>
      <c r="E405" s="2">
        <v>44440</v>
      </c>
      <c r="G405" s="3">
        <v>414059.5</v>
      </c>
      <c r="H405" s="3">
        <v>1225924.29</v>
      </c>
      <c r="I405" t="s">
        <v>30</v>
      </c>
    </row>
    <row r="406" spans="1:9" x14ac:dyDescent="0.25">
      <c r="A406">
        <v>5</v>
      </c>
      <c r="B406" s="1">
        <v>44441.498368055552</v>
      </c>
      <c r="C406" t="str">
        <f>"MB JNBS O47                      Ref 124511798040"</f>
        <v>MB JNBS O47                      Ref 124511798040</v>
      </c>
      <c r="D406" t="str">
        <f>"IMPS-124511798042"</f>
        <v>IMPS-124511798042</v>
      </c>
      <c r="E406" s="2">
        <v>44441</v>
      </c>
      <c r="F406" s="3">
        <v>8120</v>
      </c>
      <c r="H406" s="3">
        <v>1217804.29</v>
      </c>
      <c r="I406" t="s">
        <v>30</v>
      </c>
    </row>
    <row r="407" spans="1:9" x14ac:dyDescent="0.25">
      <c r="A407">
        <v>6</v>
      </c>
      <c r="B407" s="1">
        <v>44441.543379629627</v>
      </c>
      <c r="C407" t="str">
        <f>"NEFT IOBAN21245014631 PREMIER EXIM INTERNATIONAL"</f>
        <v>NEFT IOBAN21245014631 PREMIER EXIM INTERNATIONAL</v>
      </c>
      <c r="D407" t="str">
        <f>"NEFTINW-0317301116"</f>
        <v>NEFTINW-0317301116</v>
      </c>
      <c r="E407" s="2">
        <v>44441</v>
      </c>
      <c r="G407" s="3">
        <v>21257.7</v>
      </c>
      <c r="H407" s="3">
        <v>1239061.99</v>
      </c>
      <c r="I407" t="s">
        <v>30</v>
      </c>
    </row>
    <row r="408" spans="1:9" s="5" customFormat="1" x14ac:dyDescent="0.25">
      <c r="A408" s="5">
        <v>7</v>
      </c>
      <c r="B408" s="7">
        <v>44441.716574074075</v>
      </c>
      <c r="C408" s="5" t="str">
        <f>"MB:SIBIN"</f>
        <v>MB:SIBIN</v>
      </c>
      <c r="D408" s="5" t="str">
        <f>"MB-999222368893"</f>
        <v>MB-999222368893</v>
      </c>
      <c r="E408" s="8">
        <v>44441</v>
      </c>
      <c r="F408" s="4">
        <v>100000</v>
      </c>
      <c r="H408" s="4">
        <v>1139061.99</v>
      </c>
      <c r="I408" s="5" t="s">
        <v>30</v>
      </c>
    </row>
    <row r="409" spans="1:9" x14ac:dyDescent="0.25">
      <c r="A409">
        <v>4</v>
      </c>
      <c r="B409" s="1">
        <v>44441.882245370369</v>
      </c>
      <c r="C409" t="str">
        <f>"NEFT IDIBH21245453923 ALLCARGO LOGISTICS LTD IDIB"</f>
        <v>NEFT IDIBH21245453923 ALLCARGO LOGISTICS LTD IDIB</v>
      </c>
      <c r="D409" t="str">
        <f>"NEFTINW-0317471412"</f>
        <v>NEFTINW-0317471412</v>
      </c>
      <c r="E409" s="2">
        <v>44441</v>
      </c>
      <c r="G409" s="3">
        <v>149386.4</v>
      </c>
      <c r="H409" s="3">
        <v>1288448.3899999999</v>
      </c>
      <c r="I409" t="s">
        <v>30</v>
      </c>
    </row>
    <row r="410" spans="1:9" x14ac:dyDescent="0.25">
      <c r="A410">
        <v>5</v>
      </c>
      <c r="B410" s="1">
        <v>44441.897858796299</v>
      </c>
      <c r="C410" t="str">
        <f>"NEFT CMS2107020690 ABRECO FREIGHT PRIVATE LIMITED"</f>
        <v>NEFT CMS2107020690 ABRECO FREIGHT PRIVATE LIMITED</v>
      </c>
      <c r="D410" t="str">
        <f>"NEFTINW-0317485046"</f>
        <v>NEFTINW-0317485046</v>
      </c>
      <c r="E410" s="2">
        <v>44441</v>
      </c>
      <c r="G410" s="3">
        <v>48543</v>
      </c>
      <c r="H410" s="3">
        <v>1336991.3899999999</v>
      </c>
      <c r="I410" t="s">
        <v>30</v>
      </c>
    </row>
    <row r="411" spans="1:9" x14ac:dyDescent="0.25">
      <c r="A411">
        <v>6</v>
      </c>
      <c r="B411" s="1">
        <v>44442.395208333335</v>
      </c>
      <c r="C411" t="str">
        <f>"OS ASIANET ABB 1547427695"</f>
        <v>OS ASIANET ABB 1547427695</v>
      </c>
      <c r="D411" t="str">
        <f>"KPG-0147373790"</f>
        <v>KPG-0147373790</v>
      </c>
      <c r="E411" s="2">
        <v>44442</v>
      </c>
      <c r="F411">
        <v>824.82</v>
      </c>
      <c r="H411" s="3">
        <v>1336166.57</v>
      </c>
      <c r="I411" t="s">
        <v>30</v>
      </c>
    </row>
    <row r="412" spans="1:9" x14ac:dyDescent="0.25">
      <c r="A412">
        <v>7</v>
      </c>
      <c r="B412" s="1">
        <v>44442.560833333337</v>
      </c>
      <c r="C412" t="str">
        <f>"PRIDEL TR"</f>
        <v>PRIDEL TR</v>
      </c>
      <c r="D412" t="str">
        <f>"FCM-21090302RYJJ"</f>
        <v>FCM-21090302RYJJ</v>
      </c>
      <c r="E412" s="2">
        <v>44442</v>
      </c>
      <c r="G412" s="3">
        <v>82174.399999999994</v>
      </c>
      <c r="H412" s="3">
        <v>1418340.97</v>
      </c>
      <c r="I412" t="s">
        <v>30</v>
      </c>
    </row>
    <row r="413" spans="1:9" s="5" customFormat="1" x14ac:dyDescent="0.25">
      <c r="A413" s="5">
        <v>3</v>
      </c>
      <c r="B413" s="7">
        <v>44443.38009259259</v>
      </c>
      <c r="C413" s="5" t="str">
        <f>"MB HDFC                          Ref 124709355538"</f>
        <v>MB HDFC                          Ref 124709355538</v>
      </c>
      <c r="D413" s="5" t="str">
        <f>"IMPS-124709355539"</f>
        <v>IMPS-124709355539</v>
      </c>
      <c r="E413" s="8">
        <v>44443</v>
      </c>
      <c r="F413" s="4">
        <v>32000</v>
      </c>
      <c r="H413" s="4">
        <v>1386340.97</v>
      </c>
      <c r="I413" s="5" t="s">
        <v>30</v>
      </c>
    </row>
    <row r="414" spans="1:9" s="5" customFormat="1" x14ac:dyDescent="0.25">
      <c r="A414" s="5">
        <v>2</v>
      </c>
      <c r="B414" s="7">
        <v>44444.433425925927</v>
      </c>
      <c r="C414" s="5" t="str">
        <f>"MB RENT GANDHI                   Ref 124810765342"</f>
        <v>MB RENT GANDHI                   Ref 124810765342</v>
      </c>
      <c r="D414" s="5" t="str">
        <f>"IMPS-124810765345"</f>
        <v>IMPS-124810765345</v>
      </c>
      <c r="E414" s="8">
        <v>44444</v>
      </c>
      <c r="F414" s="4">
        <v>6500</v>
      </c>
      <c r="H414" s="4">
        <v>1379840.97</v>
      </c>
      <c r="I414" s="5" t="s">
        <v>30</v>
      </c>
    </row>
    <row r="415" spans="1:9" x14ac:dyDescent="0.25">
      <c r="A415">
        <v>3</v>
      </c>
      <c r="B415" s="1">
        <v>44444.596365740741</v>
      </c>
      <c r="C415" t="str">
        <f>"NEFT SBIN421248285356 ROYALGLASS SBIN0070291"</f>
        <v>NEFT SBIN421248285356 ROYALGLASS SBIN0070291</v>
      </c>
      <c r="D415" t="str">
        <f>"NEFTINW-0318221584"</f>
        <v>NEFTINW-0318221584</v>
      </c>
      <c r="E415" s="2">
        <v>44444</v>
      </c>
      <c r="G415" s="3">
        <v>5850</v>
      </c>
      <c r="H415" s="3">
        <v>1385690.97</v>
      </c>
      <c r="I415" t="s">
        <v>30</v>
      </c>
    </row>
    <row r="416" spans="1:9" x14ac:dyDescent="0.25">
      <c r="A416">
        <v>4</v>
      </c>
      <c r="B416" s="1">
        <v>44444.821446759262</v>
      </c>
      <c r="C416" t="str">
        <f>"NEFT SBIN421248344623 ROYALGLASS SBIN0070291"</f>
        <v>NEFT SBIN421248344623 ROYALGLASS SBIN0070291</v>
      </c>
      <c r="D416" t="str">
        <f>"NEFTINW-0318242556"</f>
        <v>NEFTINW-0318242556</v>
      </c>
      <c r="E416" s="2">
        <v>44444</v>
      </c>
      <c r="G416">
        <v>993.4</v>
      </c>
      <c r="H416" s="3">
        <v>1386684.37</v>
      </c>
      <c r="I416" t="s">
        <v>30</v>
      </c>
    </row>
    <row r="417" spans="1:9" x14ac:dyDescent="0.25">
      <c r="A417">
        <v>4</v>
      </c>
      <c r="B417" s="1">
        <v>44445.811874999999</v>
      </c>
      <c r="C417" t="str">
        <f>"NEFT N249211627327158 INDIAN PRODUCTS PRIVATE LIM"</f>
        <v>NEFT N249211627327158 INDIAN PRODUCTS PRIVATE LIM</v>
      </c>
      <c r="D417" t="str">
        <f>"NEFTINW-0318600406"</f>
        <v>NEFTINW-0318600406</v>
      </c>
      <c r="E417" s="2">
        <v>44445</v>
      </c>
      <c r="G417" s="3">
        <v>20897.7</v>
      </c>
      <c r="H417" s="3">
        <v>1407582.07</v>
      </c>
      <c r="I417" t="s">
        <v>30</v>
      </c>
    </row>
    <row r="418" spans="1:9" s="5" customFormat="1" x14ac:dyDescent="0.25">
      <c r="A418" s="5">
        <v>5</v>
      </c>
      <c r="B418" s="7">
        <v>44445.860358796293</v>
      </c>
      <c r="C418" s="5" t="str">
        <f>"MB HDFC                          Ref 124920756199"</f>
        <v>MB HDFC                          Ref 124920756199</v>
      </c>
      <c r="D418" s="5" t="str">
        <f>"IMPS-124920756202"</f>
        <v>IMPS-124920756202</v>
      </c>
      <c r="E418" s="8">
        <v>44445</v>
      </c>
      <c r="F418" s="4">
        <v>135000</v>
      </c>
      <c r="H418" s="4">
        <v>1272582.07</v>
      </c>
      <c r="I418" s="5" t="s">
        <v>30</v>
      </c>
    </row>
    <row r="419" spans="1:9" s="5" customFormat="1" x14ac:dyDescent="0.25">
      <c r="A419" s="5">
        <v>6</v>
      </c>
      <c r="B419" s="7">
        <v>44445.88045138889</v>
      </c>
      <c r="C419" s="5" t="str">
        <f>"MB HDFC                          Ref 124921792334"</f>
        <v>MB HDFC                          Ref 124921792334</v>
      </c>
      <c r="D419" s="5" t="str">
        <f>"IMPS-124921792336"</f>
        <v>IMPS-124921792336</v>
      </c>
      <c r="E419" s="8">
        <v>44445</v>
      </c>
      <c r="F419" s="4">
        <v>35000</v>
      </c>
      <c r="H419" s="4">
        <v>1237582.07</v>
      </c>
      <c r="I419" s="5" t="s">
        <v>30</v>
      </c>
    </row>
    <row r="420" spans="1:9" s="5" customFormat="1" x14ac:dyDescent="0.25">
      <c r="A420" s="5">
        <v>7</v>
      </c>
      <c r="B420" s="7">
        <v>44446.401956018519</v>
      </c>
      <c r="C420" s="5" t="str">
        <f>"IB   HDFC                        Ref 125009146535"</f>
        <v>IB   HDFC                        Ref 125009146535</v>
      </c>
      <c r="D420" s="5" t="str">
        <f>"IMPS-125009146536"</f>
        <v>IMPS-125009146536</v>
      </c>
      <c r="E420" s="8">
        <v>44446</v>
      </c>
      <c r="F420" s="4">
        <v>85000</v>
      </c>
      <c r="H420" s="4">
        <v>1152582.07</v>
      </c>
      <c r="I420" s="5" t="s">
        <v>30</v>
      </c>
    </row>
    <row r="421" spans="1:9" x14ac:dyDescent="0.25">
      <c r="A421">
        <v>5</v>
      </c>
      <c r="B421" s="1">
        <v>44446.544328703705</v>
      </c>
      <c r="C421" t="str">
        <f>"NEFT SBIN521250542137 ROYALGLASS SBIN0070291"</f>
        <v>NEFT SBIN521250542137 ROYALGLASS SBIN0070291</v>
      </c>
      <c r="D421" t="str">
        <f>"NEFTINW-0318766545"</f>
        <v>NEFTINW-0318766545</v>
      </c>
      <c r="E421" s="2">
        <v>44446</v>
      </c>
      <c r="G421" s="3">
        <v>37154.800000000003</v>
      </c>
      <c r="H421" s="3">
        <v>1189736.8700000001</v>
      </c>
      <c r="I421" t="s">
        <v>30</v>
      </c>
    </row>
    <row r="422" spans="1:9" x14ac:dyDescent="0.25">
      <c r="A422">
        <v>6</v>
      </c>
      <c r="B422" s="1">
        <v>44446.743460648147</v>
      </c>
      <c r="C422" t="str">
        <f>"MB TDS                           Ref 125017878873"</f>
        <v>MB TDS                           Ref 125017878873</v>
      </c>
      <c r="D422" t="str">
        <f>"IMPS-125017878932"</f>
        <v>IMPS-125017878932</v>
      </c>
      <c r="E422" s="2">
        <v>44446</v>
      </c>
      <c r="F422" s="3">
        <v>11841</v>
      </c>
      <c r="H422" s="3">
        <v>1177895.8700000001</v>
      </c>
      <c r="I422" t="s">
        <v>30</v>
      </c>
    </row>
    <row r="423" spans="1:9" x14ac:dyDescent="0.25">
      <c r="A423">
        <v>7</v>
      </c>
      <c r="B423" s="1">
        <v>44446.744571759256</v>
      </c>
      <c r="C423" t="str">
        <f>"MB TO BOB 23                     Ref 125017881737"</f>
        <v>MB TO BOB 23                     Ref 125017881737</v>
      </c>
      <c r="D423" t="str">
        <f>"IMPS-125017881738"</f>
        <v>IMPS-125017881738</v>
      </c>
      <c r="E423" s="2">
        <v>44446</v>
      </c>
      <c r="F423" s="3">
        <v>10000</v>
      </c>
      <c r="H423" s="3">
        <v>1167895.8700000001</v>
      </c>
      <c r="I423" t="s">
        <v>30</v>
      </c>
    </row>
    <row r="426" spans="1:9" x14ac:dyDescent="0.25">
      <c r="A426" s="9">
        <v>5</v>
      </c>
      <c r="B426" s="10">
        <v>44447.502638888887</v>
      </c>
      <c r="C426" s="9" t="s">
        <v>38</v>
      </c>
      <c r="D426" s="9" t="s">
        <v>39</v>
      </c>
      <c r="E426" s="11">
        <v>44447</v>
      </c>
      <c r="F426" s="12">
        <v>1000000</v>
      </c>
      <c r="G426" s="9"/>
      <c r="H426" s="12">
        <v>167895.87</v>
      </c>
      <c r="I426" s="9" t="s">
        <v>30</v>
      </c>
    </row>
    <row r="427" spans="1:9" x14ac:dyDescent="0.25">
      <c r="A427" s="9">
        <v>6</v>
      </c>
      <c r="B427" s="10">
        <v>44447.620127314818</v>
      </c>
      <c r="C427" s="9" t="s">
        <v>40</v>
      </c>
      <c r="D427" s="9" t="s">
        <v>41</v>
      </c>
      <c r="E427" s="11">
        <v>44447</v>
      </c>
      <c r="F427" s="12">
        <v>30000</v>
      </c>
      <c r="G427" s="9"/>
      <c r="H427" s="12">
        <v>137895.87</v>
      </c>
      <c r="I427" s="9" t="s">
        <v>30</v>
      </c>
    </row>
    <row r="428" spans="1:9" x14ac:dyDescent="0.25">
      <c r="A428" s="9">
        <v>7</v>
      </c>
      <c r="B428" s="10">
        <v>44447.665092592593</v>
      </c>
      <c r="C428" s="9" t="s">
        <v>42</v>
      </c>
      <c r="D428" s="9" t="s">
        <v>43</v>
      </c>
      <c r="E428" s="11">
        <v>44447</v>
      </c>
      <c r="F428" s="9"/>
      <c r="G428" s="12">
        <v>12880.24</v>
      </c>
      <c r="H428" s="12">
        <v>150776.10999999999</v>
      </c>
      <c r="I428" s="9" t="s">
        <v>30</v>
      </c>
    </row>
    <row r="429" spans="1:9" x14ac:dyDescent="0.25">
      <c r="A429" s="9">
        <v>4</v>
      </c>
      <c r="B429" s="10">
        <v>44447.824976851851</v>
      </c>
      <c r="C429" s="9" t="s">
        <v>44</v>
      </c>
      <c r="D429" s="9" t="s">
        <v>37</v>
      </c>
      <c r="E429" s="11">
        <v>44447</v>
      </c>
      <c r="F429" s="9"/>
      <c r="G429" s="12">
        <v>500000</v>
      </c>
      <c r="H429" s="12">
        <v>650776.11</v>
      </c>
      <c r="I429" s="9" t="s">
        <v>30</v>
      </c>
    </row>
    <row r="431" spans="1:9" x14ac:dyDescent="0.25">
      <c r="A431" s="13">
        <v>5</v>
      </c>
      <c r="B431" s="14">
        <v>44448.542719907404</v>
      </c>
      <c r="C431" s="13" t="s">
        <v>44</v>
      </c>
      <c r="D431" s="13" t="s">
        <v>37</v>
      </c>
      <c r="E431" s="15">
        <v>44448</v>
      </c>
      <c r="F431" s="13"/>
      <c r="G431" s="16">
        <v>500000</v>
      </c>
      <c r="H431" s="16">
        <v>1150776.1100000001</v>
      </c>
      <c r="I431" s="13" t="s">
        <v>30</v>
      </c>
    </row>
    <row r="432" spans="1:9" x14ac:dyDescent="0.25">
      <c r="A432" s="13">
        <v>6</v>
      </c>
      <c r="B432" s="14">
        <v>44448.558229166665</v>
      </c>
      <c r="C432" s="13" t="s">
        <v>45</v>
      </c>
      <c r="D432" s="13" t="s">
        <v>46</v>
      </c>
      <c r="E432" s="15">
        <v>44448</v>
      </c>
      <c r="F432" s="16">
        <v>5000</v>
      </c>
      <c r="G432" s="13"/>
      <c r="H432" s="16">
        <v>1145776.1100000001</v>
      </c>
      <c r="I432" s="13" t="s">
        <v>30</v>
      </c>
    </row>
    <row r="433" spans="1:9" s="13" customFormat="1" x14ac:dyDescent="0.25">
      <c r="B433" s="14"/>
      <c r="E433" s="15"/>
      <c r="F433" s="16"/>
      <c r="H433" s="16"/>
    </row>
    <row r="434" spans="1:9" s="13" customFormat="1" x14ac:dyDescent="0.25">
      <c r="B434" s="14"/>
      <c r="E434" s="15"/>
      <c r="F434" s="16"/>
      <c r="H434" s="16"/>
    </row>
    <row r="435" spans="1:9" x14ac:dyDescent="0.25">
      <c r="A435" s="13">
        <v>7</v>
      </c>
      <c r="B435" s="14">
        <v>44449.3825462963</v>
      </c>
      <c r="C435" s="13" t="s">
        <v>47</v>
      </c>
      <c r="D435" s="13" t="s">
        <v>48</v>
      </c>
      <c r="E435" s="15">
        <v>44449</v>
      </c>
      <c r="F435" s="16">
        <v>15000</v>
      </c>
      <c r="G435" s="13"/>
      <c r="H435" s="16">
        <v>1130776.1100000001</v>
      </c>
      <c r="I435" s="13" t="s">
        <v>30</v>
      </c>
    </row>
    <row r="436" spans="1:9" x14ac:dyDescent="0.25">
      <c r="A436" s="13">
        <v>8</v>
      </c>
      <c r="B436" s="14">
        <v>44449.489664351851</v>
      </c>
      <c r="C436" s="13" t="s">
        <v>49</v>
      </c>
      <c r="D436" s="13" t="s">
        <v>50</v>
      </c>
      <c r="E436" s="15">
        <v>44449</v>
      </c>
      <c r="F436" s="13"/>
      <c r="G436" s="16">
        <v>113685</v>
      </c>
      <c r="H436" s="16">
        <v>1244461.1100000001</v>
      </c>
      <c r="I436" s="13" t="s">
        <v>30</v>
      </c>
    </row>
    <row r="439" spans="1:9" x14ac:dyDescent="0.25">
      <c r="A439" s="17">
        <v>3</v>
      </c>
      <c r="B439" s="18">
        <v>44450.506574074076</v>
      </c>
      <c r="C439" s="17" t="s">
        <v>51</v>
      </c>
      <c r="D439" s="17" t="s">
        <v>52</v>
      </c>
      <c r="E439" s="19">
        <v>44450</v>
      </c>
      <c r="F439" s="20">
        <v>15677</v>
      </c>
      <c r="G439" s="17"/>
      <c r="H439" s="20">
        <v>1228784.1100000001</v>
      </c>
      <c r="I439" s="17" t="s">
        <v>30</v>
      </c>
    </row>
    <row r="440" spans="1:9" x14ac:dyDescent="0.25">
      <c r="A440" s="17">
        <v>4</v>
      </c>
      <c r="B440" s="18">
        <v>44452.459780092591</v>
      </c>
      <c r="C440" s="17" t="s">
        <v>53</v>
      </c>
      <c r="D440" s="17" t="s">
        <v>54</v>
      </c>
      <c r="E440" s="19">
        <v>44452</v>
      </c>
      <c r="F440" s="20">
        <v>105653</v>
      </c>
      <c r="G440" s="17"/>
      <c r="H440" s="20">
        <v>1123131.1100000001</v>
      </c>
      <c r="I440" s="17" t="s">
        <v>30</v>
      </c>
    </row>
    <row r="441" spans="1:9" x14ac:dyDescent="0.25">
      <c r="A441" s="17">
        <v>5</v>
      </c>
      <c r="B441" s="18">
        <v>44452.541597222225</v>
      </c>
      <c r="C441" s="17" t="s">
        <v>55</v>
      </c>
      <c r="D441" s="17" t="s">
        <v>56</v>
      </c>
      <c r="E441" s="19">
        <v>44452</v>
      </c>
      <c r="F441" s="17"/>
      <c r="G441" s="20">
        <v>535048.4</v>
      </c>
      <c r="H441" s="20">
        <v>1658179.51</v>
      </c>
      <c r="I441" s="17" t="s">
        <v>30</v>
      </c>
    </row>
    <row r="444" spans="1:9" x14ac:dyDescent="0.25">
      <c r="A444" s="21">
        <v>3</v>
      </c>
      <c r="B444" s="22">
        <v>44453.413101851853</v>
      </c>
      <c r="C444" s="21" t="s">
        <v>44</v>
      </c>
      <c r="D444" s="21" t="s">
        <v>37</v>
      </c>
      <c r="E444" s="23">
        <v>44453</v>
      </c>
      <c r="F444" s="21"/>
      <c r="G444" s="24">
        <v>422244</v>
      </c>
      <c r="H444" s="24">
        <v>2080423.51</v>
      </c>
      <c r="I444" s="21" t="s">
        <v>30</v>
      </c>
    </row>
    <row r="445" spans="1:9" x14ac:dyDescent="0.25">
      <c r="A445" s="21">
        <v>4</v>
      </c>
      <c r="B445" s="22">
        <v>44453.645486111112</v>
      </c>
      <c r="C445" s="21" t="s">
        <v>57</v>
      </c>
      <c r="D445" s="21" t="s">
        <v>58</v>
      </c>
      <c r="E445" s="23">
        <v>44453</v>
      </c>
      <c r="F445" s="24">
        <v>104087</v>
      </c>
      <c r="G445" s="21"/>
      <c r="H445" s="24">
        <v>1976336.51</v>
      </c>
      <c r="I445" s="21" t="s">
        <v>30</v>
      </c>
    </row>
    <row r="446" spans="1:9" x14ac:dyDescent="0.25">
      <c r="A446" s="21">
        <v>5</v>
      </c>
      <c r="B446" s="22">
        <v>44453.647303240738</v>
      </c>
      <c r="C446" s="21" t="s">
        <v>59</v>
      </c>
      <c r="D446" s="21" t="s">
        <v>60</v>
      </c>
      <c r="E446" s="23">
        <v>44453</v>
      </c>
      <c r="F446" s="24">
        <v>140050</v>
      </c>
      <c r="G446" s="21"/>
      <c r="H446" s="24">
        <v>1836286.51</v>
      </c>
      <c r="I446" s="21" t="s">
        <v>30</v>
      </c>
    </row>
    <row r="448" spans="1:9" x14ac:dyDescent="0.25">
      <c r="A448" s="25">
        <v>4</v>
      </c>
      <c r="B448" s="26">
        <v>44454.429675925923</v>
      </c>
      <c r="C448" s="25" t="s">
        <v>61</v>
      </c>
      <c r="D448" s="25" t="s">
        <v>62</v>
      </c>
      <c r="E448" s="27">
        <v>44454</v>
      </c>
      <c r="F448" s="28">
        <v>85000</v>
      </c>
      <c r="G448" s="25"/>
      <c r="H448" s="28">
        <v>1751286.51</v>
      </c>
      <c r="I448" s="25" t="s">
        <v>30</v>
      </c>
    </row>
    <row r="449" spans="1:9" x14ac:dyDescent="0.25">
      <c r="A449" s="25">
        <v>5</v>
      </c>
      <c r="B449" s="26">
        <v>44454.696099537039</v>
      </c>
      <c r="C449" s="25" t="s">
        <v>63</v>
      </c>
      <c r="D449" s="25" t="s">
        <v>64</v>
      </c>
      <c r="E449" s="27">
        <v>44454</v>
      </c>
      <c r="F449" s="25"/>
      <c r="G449" s="28">
        <v>97819</v>
      </c>
      <c r="H449" s="28">
        <v>1849105.51</v>
      </c>
      <c r="I449" s="25" t="s">
        <v>30</v>
      </c>
    </row>
    <row r="450" spans="1:9" x14ac:dyDescent="0.25">
      <c r="A450" s="25">
        <v>6</v>
      </c>
      <c r="B450" s="26">
        <v>44454.696111111109</v>
      </c>
      <c r="C450" s="25" t="s">
        <v>65</v>
      </c>
      <c r="D450" s="25" t="s">
        <v>66</v>
      </c>
      <c r="E450" s="27">
        <v>44454</v>
      </c>
      <c r="F450" s="25"/>
      <c r="G450" s="28">
        <v>97819</v>
      </c>
      <c r="H450" s="28">
        <v>1946924.51</v>
      </c>
      <c r="I450" s="25" t="s">
        <v>30</v>
      </c>
    </row>
    <row r="451" spans="1:9" x14ac:dyDescent="0.25">
      <c r="A451" s="25">
        <v>7</v>
      </c>
      <c r="B451" s="26">
        <v>44454.696550925924</v>
      </c>
      <c r="C451" s="25" t="s">
        <v>67</v>
      </c>
      <c r="D451" s="25" t="s">
        <v>68</v>
      </c>
      <c r="E451" s="27">
        <v>44454</v>
      </c>
      <c r="F451" s="28">
        <v>58410</v>
      </c>
      <c r="G451" s="25"/>
      <c r="H451" s="28">
        <v>1888514.51</v>
      </c>
      <c r="I451" s="25" t="s">
        <v>30</v>
      </c>
    </row>
    <row r="452" spans="1:9" x14ac:dyDescent="0.25">
      <c r="A452" s="25">
        <v>8</v>
      </c>
      <c r="B452" s="26">
        <v>44454.698217592595</v>
      </c>
      <c r="C452" s="25" t="s">
        <v>69</v>
      </c>
      <c r="D452" s="25" t="s">
        <v>70</v>
      </c>
      <c r="E452" s="27">
        <v>44454</v>
      </c>
      <c r="F452" s="28">
        <v>1524671</v>
      </c>
      <c r="G452" s="25"/>
      <c r="H452" s="28">
        <v>363843.51</v>
      </c>
      <c r="I452" s="25" t="s">
        <v>30</v>
      </c>
    </row>
    <row r="454" spans="1:9" x14ac:dyDescent="0.25">
      <c r="A454" s="29">
        <v>6</v>
      </c>
      <c r="B454" s="30">
        <v>44455.40384259259</v>
      </c>
      <c r="C454" s="29" t="s">
        <v>71</v>
      </c>
      <c r="D454" s="29" t="s">
        <v>72</v>
      </c>
      <c r="E454" s="31">
        <v>44455</v>
      </c>
      <c r="F454" s="32">
        <v>8900</v>
      </c>
      <c r="G454" s="29"/>
      <c r="H454" s="32">
        <v>354943.51</v>
      </c>
      <c r="I454" s="29" t="s">
        <v>30</v>
      </c>
    </row>
    <row r="455" spans="1:9" x14ac:dyDescent="0.25">
      <c r="A455" s="29">
        <v>7</v>
      </c>
      <c r="B455" s="30">
        <v>44455.525023148148</v>
      </c>
      <c r="C455" s="29" t="s">
        <v>73</v>
      </c>
      <c r="D455" s="29" t="s">
        <v>37</v>
      </c>
      <c r="E455" s="31">
        <v>44455</v>
      </c>
      <c r="F455" s="32">
        <v>250000</v>
      </c>
      <c r="G455" s="29"/>
      <c r="H455" s="32">
        <v>104943.51</v>
      </c>
      <c r="I455" s="29" t="s">
        <v>30</v>
      </c>
    </row>
    <row r="456" spans="1:9" x14ac:dyDescent="0.25">
      <c r="A456" s="29">
        <v>8</v>
      </c>
      <c r="B456" s="30">
        <v>44455.629351851851</v>
      </c>
      <c r="C456" s="29" t="s">
        <v>74</v>
      </c>
      <c r="D456" s="29" t="s">
        <v>75</v>
      </c>
      <c r="E456" s="31">
        <v>44455</v>
      </c>
      <c r="F456" s="29"/>
      <c r="G456" s="32">
        <v>220336</v>
      </c>
      <c r="H456" s="32">
        <v>325279.51</v>
      </c>
      <c r="I456" s="29" t="s">
        <v>30</v>
      </c>
    </row>
    <row r="458" spans="1:9" x14ac:dyDescent="0.25">
      <c r="A458" s="33">
        <v>4</v>
      </c>
      <c r="B458" s="34">
        <v>44456.325358796297</v>
      </c>
      <c r="C458" s="33" t="s">
        <v>76</v>
      </c>
      <c r="D458" s="33" t="s">
        <v>77</v>
      </c>
      <c r="E458" s="35">
        <v>44456</v>
      </c>
      <c r="F458" s="33"/>
      <c r="G458" s="36">
        <v>32537.5</v>
      </c>
      <c r="H458" s="36">
        <v>357817.01</v>
      </c>
      <c r="I458" s="33" t="s">
        <v>30</v>
      </c>
    </row>
    <row r="459" spans="1:9" x14ac:dyDescent="0.25">
      <c r="A459" s="33">
        <v>5</v>
      </c>
      <c r="B459" s="34">
        <v>44456.534386574072</v>
      </c>
      <c r="C459" s="33" t="s">
        <v>44</v>
      </c>
      <c r="D459" s="33" t="s">
        <v>37</v>
      </c>
      <c r="E459" s="35">
        <v>44456</v>
      </c>
      <c r="F459" s="33"/>
      <c r="G459" s="36">
        <v>250000</v>
      </c>
      <c r="H459" s="36">
        <v>607817.01</v>
      </c>
      <c r="I459" s="33" t="s">
        <v>30</v>
      </c>
    </row>
    <row r="460" spans="1:9" x14ac:dyDescent="0.25">
      <c r="A460" s="33">
        <v>6</v>
      </c>
      <c r="B460" s="34">
        <v>44456.562337962961</v>
      </c>
      <c r="C460" s="33" t="s">
        <v>78</v>
      </c>
      <c r="D460" s="33" t="s">
        <v>79</v>
      </c>
      <c r="E460" s="35">
        <v>44456</v>
      </c>
      <c r="F460" s="33"/>
      <c r="G460" s="36">
        <v>114077</v>
      </c>
      <c r="H460" s="36">
        <v>721894.01</v>
      </c>
      <c r="I460" s="33" t="s">
        <v>30</v>
      </c>
    </row>
    <row r="461" spans="1:9" x14ac:dyDescent="0.25">
      <c r="A461" s="33">
        <v>7</v>
      </c>
      <c r="B461" s="34">
        <v>44456.607256944444</v>
      </c>
      <c r="C461" s="33" t="s">
        <v>80</v>
      </c>
      <c r="D461" s="33" t="s">
        <v>81</v>
      </c>
      <c r="E461" s="35">
        <v>44456</v>
      </c>
      <c r="F461" s="36">
        <v>10000</v>
      </c>
      <c r="G461" s="33"/>
      <c r="H461" s="36">
        <v>711894.01</v>
      </c>
      <c r="I461" s="33" t="s">
        <v>30</v>
      </c>
    </row>
    <row r="462" spans="1:9" x14ac:dyDescent="0.25">
      <c r="A462" s="33">
        <v>8</v>
      </c>
      <c r="B462" s="34">
        <v>44456.680104166669</v>
      </c>
      <c r="C462" s="33" t="s">
        <v>82</v>
      </c>
      <c r="D462" s="33" t="s">
        <v>83</v>
      </c>
      <c r="E462" s="35">
        <v>44456</v>
      </c>
      <c r="F462" s="33"/>
      <c r="G462" s="36">
        <v>28993.16</v>
      </c>
      <c r="H462" s="36">
        <v>740887.17</v>
      </c>
      <c r="I462" s="33" t="s">
        <v>30</v>
      </c>
    </row>
    <row r="463" spans="1:9" x14ac:dyDescent="0.25">
      <c r="A463" s="33">
        <v>9</v>
      </c>
      <c r="B463" s="34">
        <v>44456.691111111111</v>
      </c>
      <c r="C463" s="33" t="s">
        <v>84</v>
      </c>
      <c r="D463" s="33" t="s">
        <v>85</v>
      </c>
      <c r="E463" s="35">
        <v>44456</v>
      </c>
      <c r="F463" s="33"/>
      <c r="G463" s="36">
        <v>313704</v>
      </c>
      <c r="H463" s="36">
        <v>1054591.17</v>
      </c>
      <c r="I463" s="33" t="s">
        <v>30</v>
      </c>
    </row>
    <row r="465" spans="1:9" x14ac:dyDescent="0.25">
      <c r="A465" s="37">
        <v>7</v>
      </c>
      <c r="B465" s="38">
        <v>44457.888738425929</v>
      </c>
      <c r="C465" s="37" t="s">
        <v>86</v>
      </c>
      <c r="D465" s="37" t="s">
        <v>87</v>
      </c>
      <c r="E465" s="39">
        <v>44457</v>
      </c>
      <c r="F465" s="40">
        <v>35000</v>
      </c>
      <c r="G465" s="37"/>
      <c r="H465" s="40">
        <v>1019591.17</v>
      </c>
      <c r="I465" s="37" t="s">
        <v>30</v>
      </c>
    </row>
    <row r="466" spans="1:9" s="37" customFormat="1" x14ac:dyDescent="0.25">
      <c r="B466" s="38"/>
      <c r="E466" s="39"/>
      <c r="F466" s="40"/>
      <c r="H466" s="40"/>
    </row>
    <row r="467" spans="1:9" x14ac:dyDescent="0.25">
      <c r="A467" s="37">
        <v>8</v>
      </c>
      <c r="B467" s="38">
        <v>44458.674895833334</v>
      </c>
      <c r="C467" s="37" t="s">
        <v>88</v>
      </c>
      <c r="D467" s="37" t="s">
        <v>89</v>
      </c>
      <c r="E467" s="39">
        <v>44458</v>
      </c>
      <c r="F467" s="40">
        <v>500000</v>
      </c>
      <c r="G467" s="37"/>
      <c r="H467" s="40">
        <v>519591.17</v>
      </c>
      <c r="I467" s="37" t="s">
        <v>30</v>
      </c>
    </row>
    <row r="469" spans="1:9" x14ac:dyDescent="0.25">
      <c r="A469" s="41">
        <v>3</v>
      </c>
      <c r="B469" s="42">
        <v>44460.536597222221</v>
      </c>
      <c r="C469" s="41" t="s">
        <v>90</v>
      </c>
      <c r="D469" s="41" t="s">
        <v>91</v>
      </c>
      <c r="E469" s="43">
        <v>44460</v>
      </c>
      <c r="F469" s="41"/>
      <c r="G469" s="44">
        <v>21257.7</v>
      </c>
      <c r="H469" s="44">
        <v>476348.87</v>
      </c>
      <c r="I469" s="41" t="s">
        <v>30</v>
      </c>
    </row>
    <row r="470" spans="1:9" x14ac:dyDescent="0.25">
      <c r="A470" s="41">
        <v>4</v>
      </c>
      <c r="B470" s="42">
        <v>44460.618310185186</v>
      </c>
      <c r="C470" s="41" t="s">
        <v>92</v>
      </c>
      <c r="D470" s="41" t="s">
        <v>93</v>
      </c>
      <c r="E470" s="43">
        <v>44460</v>
      </c>
      <c r="F470" s="41"/>
      <c r="G470" s="44">
        <v>63156</v>
      </c>
      <c r="H470" s="44">
        <v>539504.87</v>
      </c>
      <c r="I470" s="41" t="s">
        <v>30</v>
      </c>
    </row>
    <row r="471" spans="1:9" x14ac:dyDescent="0.25">
      <c r="A471" s="41">
        <v>5</v>
      </c>
      <c r="B471" s="42">
        <v>44460.728391203702</v>
      </c>
      <c r="C471" s="41" t="s">
        <v>94</v>
      </c>
      <c r="D471" s="41" t="s">
        <v>95</v>
      </c>
      <c r="E471" s="43">
        <v>44460</v>
      </c>
      <c r="F471" s="41"/>
      <c r="G471" s="44">
        <v>28114.42</v>
      </c>
      <c r="H471" s="44">
        <v>567619.29</v>
      </c>
      <c r="I471" s="41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Kotak.1050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2021-04-03T04:14:26Z</dcterms:created>
  <dcterms:modified xsi:type="dcterms:W3CDTF">2021-09-22T04:10:40Z</dcterms:modified>
</cp:coreProperties>
</file>